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eorc\Documents\ONDERNEMERS VOOR ONDERNEMERS\2024\"/>
    </mc:Choice>
  </mc:AlternateContent>
  <xr:revisionPtr revIDLastSave="0" documentId="8_{1F04AFF4-A823-4525-8E9B-042CB3FDD21E}" xr6:coauthVersionLast="47" xr6:coauthVersionMax="47" xr10:uidLastSave="{00000000-0000-0000-0000-000000000000}"/>
  <bookViews>
    <workbookView xWindow="-120" yWindow="-120" windowWidth="29040" windowHeight="15720" tabRatio="832" xr2:uid="{00000000-000D-0000-FFFF-FFFF00000000}"/>
  </bookViews>
  <sheets>
    <sheet name="Template content" sheetId="7" r:id="rId1"/>
    <sheet name="Summary Financial Plan IN EUROS" sheetId="11" r:id="rId2"/>
    <sheet name="Sales &amp; Grossmargin forecast " sheetId="2" r:id="rId3"/>
    <sheet name="Detail expenses " sheetId="9" r:id="rId4"/>
    <sheet name="Investments" sheetId="1" r:id="rId5"/>
    <sheet name="P&amp;L and Cashflowstatement" sheetId="4" r:id="rId6"/>
    <sheet name="Working Capital" sheetId="10" r:id="rId7"/>
    <sheet name="Financing sources" sheetId="3" r:id="rId8"/>
    <sheet name="Balance sheet" sheetId="5" r:id="rId9"/>
  </sheets>
  <definedNames>
    <definedName name="_xlnm.Print_Area" localSheetId="7">'Financing sources'!$A$1:$N$88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R7" i="1" l="1"/>
  <c r="R20" i="1" l="1"/>
  <c r="Q20" i="1"/>
  <c r="P20" i="1"/>
  <c r="O20" i="1"/>
  <c r="N20" i="1"/>
  <c r="M20" i="1"/>
  <c r="C25" i="1"/>
  <c r="C18" i="1"/>
  <c r="C11" i="1"/>
  <c r="B4" i="4"/>
  <c r="B4" i="9"/>
  <c r="C28" i="2"/>
  <c r="D3" i="2"/>
  <c r="M3" i="2" s="1"/>
  <c r="P3" i="2" s="1"/>
  <c r="Q3" i="2" s="1"/>
  <c r="R3" i="2" s="1"/>
  <c r="S3" i="2" s="1"/>
  <c r="S28" i="2" s="1"/>
  <c r="E4" i="1"/>
  <c r="L4" i="1"/>
  <c r="T4" i="1"/>
  <c r="J17" i="10"/>
  <c r="C38" i="4" s="1"/>
  <c r="M9" i="1" l="1"/>
  <c r="M17" i="1"/>
  <c r="M31" i="1"/>
  <c r="M24" i="1"/>
  <c r="M22" i="1"/>
  <c r="M15" i="1"/>
  <c r="M13" i="1"/>
  <c r="M8" i="1"/>
  <c r="M7" i="1"/>
  <c r="M29" i="1"/>
  <c r="M23" i="1"/>
  <c r="M21" i="1"/>
  <c r="M16" i="1"/>
  <c r="M14" i="1"/>
  <c r="M10" i="1"/>
  <c r="M6" i="1"/>
  <c r="L9" i="1"/>
  <c r="T9" i="1" s="1"/>
  <c r="L22" i="1"/>
  <c r="T22" i="1" s="1"/>
  <c r="L7" i="1"/>
  <c r="L6" i="1"/>
  <c r="T6" i="1" s="1"/>
  <c r="L31" i="1"/>
  <c r="T31" i="1" s="1"/>
  <c r="U31" i="1" s="1"/>
  <c r="L29" i="1"/>
  <c r="T29" i="1" s="1"/>
  <c r="L24" i="1"/>
  <c r="T24" i="1" s="1"/>
  <c r="U24" i="1" s="1"/>
  <c r="L23" i="1"/>
  <c r="T23" i="1" s="1"/>
  <c r="L21" i="1"/>
  <c r="T21" i="1" s="1"/>
  <c r="L20" i="1"/>
  <c r="T20" i="1" s="1"/>
  <c r="L17" i="1"/>
  <c r="T17" i="1" s="1"/>
  <c r="L16" i="1"/>
  <c r="T16" i="1" s="1"/>
  <c r="L15" i="1"/>
  <c r="T15" i="1" s="1"/>
  <c r="L14" i="1"/>
  <c r="T14" i="1" s="1"/>
  <c r="L13" i="1"/>
  <c r="T13" i="1" s="1"/>
  <c r="U13" i="1" s="1"/>
  <c r="L10" i="1"/>
  <c r="T10" i="1" s="1"/>
  <c r="U10" i="1" s="1"/>
  <c r="T7" i="1"/>
  <c r="F4" i="1"/>
  <c r="C27" i="1"/>
  <c r="C33" i="1" s="1"/>
  <c r="C4" i="4"/>
  <c r="C4" i="9"/>
  <c r="F4" i="9" s="1"/>
  <c r="G4" i="9" s="1"/>
  <c r="H4" i="9" s="1"/>
  <c r="I4" i="9" s="1"/>
  <c r="J4" i="9" s="1"/>
  <c r="D28" i="2"/>
  <c r="M28" i="2"/>
  <c r="P28" i="2"/>
  <c r="Q28" i="2"/>
  <c r="R28" i="2"/>
  <c r="L8" i="1"/>
  <c r="T8" i="1" s="1"/>
  <c r="U8" i="1" s="1"/>
  <c r="U4" i="1"/>
  <c r="M4" i="1"/>
  <c r="D31" i="5"/>
  <c r="D25" i="5" s="1"/>
  <c r="D19" i="5"/>
  <c r="U23" i="1" l="1"/>
  <c r="U14" i="1"/>
  <c r="U9" i="1"/>
  <c r="U22" i="1"/>
  <c r="U16" i="1"/>
  <c r="U29" i="1"/>
  <c r="U7" i="1"/>
  <c r="U6" i="1"/>
  <c r="U15" i="1"/>
  <c r="U17" i="1"/>
  <c r="N29" i="1"/>
  <c r="V29" i="1" s="1"/>
  <c r="N31" i="1"/>
  <c r="V31" i="1" s="1"/>
  <c r="N24" i="1"/>
  <c r="V24" i="1" s="1"/>
  <c r="N22" i="1"/>
  <c r="V22" i="1" s="1"/>
  <c r="N7" i="1"/>
  <c r="N17" i="1"/>
  <c r="N15" i="1"/>
  <c r="N13" i="1"/>
  <c r="V13" i="1" s="1"/>
  <c r="N8" i="1"/>
  <c r="N23" i="1"/>
  <c r="V23" i="1" s="1"/>
  <c r="N21" i="1"/>
  <c r="N16" i="1"/>
  <c r="V16" i="1" s="1"/>
  <c r="N14" i="1"/>
  <c r="V14" i="1" s="1"/>
  <c r="N10" i="1"/>
  <c r="N9" i="1"/>
  <c r="N4" i="1"/>
  <c r="V4" i="1"/>
  <c r="U21" i="1"/>
  <c r="G4" i="1"/>
  <c r="N6" i="1"/>
  <c r="F3" i="4"/>
  <c r="J4" i="10"/>
  <c r="D37" i="5"/>
  <c r="D4" i="5"/>
  <c r="B6" i="4"/>
  <c r="C1" i="5"/>
  <c r="D1" i="3"/>
  <c r="K1" i="10"/>
  <c r="E69" i="3"/>
  <c r="E53" i="4"/>
  <c r="D53" i="4"/>
  <c r="V21" i="1" l="1"/>
  <c r="V15" i="1"/>
  <c r="V17" i="1"/>
  <c r="O24" i="1"/>
  <c r="W24" i="1" s="1"/>
  <c r="O22" i="1"/>
  <c r="W22" i="1" s="1"/>
  <c r="O31" i="1"/>
  <c r="W31" i="1" s="1"/>
  <c r="O17" i="1"/>
  <c r="W17" i="1" s="1"/>
  <c r="O15" i="1"/>
  <c r="W15" i="1" s="1"/>
  <c r="O13" i="1"/>
  <c r="W13" i="1" s="1"/>
  <c r="O29" i="1"/>
  <c r="W29" i="1" s="1"/>
  <c r="O16" i="1"/>
  <c r="W16" i="1" s="1"/>
  <c r="O7" i="1"/>
  <c r="O23" i="1"/>
  <c r="W23" i="1" s="1"/>
  <c r="O14" i="1"/>
  <c r="W14" i="1" s="1"/>
  <c r="O8" i="1"/>
  <c r="O21" i="1"/>
  <c r="O10" i="1"/>
  <c r="O9" i="1"/>
  <c r="O6" i="1"/>
  <c r="H4" i="1"/>
  <c r="W4" i="1"/>
  <c r="O4" i="1"/>
  <c r="K4" i="10"/>
  <c r="D3" i="5"/>
  <c r="E3" i="5" s="1"/>
  <c r="H3" i="4"/>
  <c r="B4" i="11"/>
  <c r="F53" i="4"/>
  <c r="D49" i="4"/>
  <c r="F49" i="4" s="1"/>
  <c r="D48" i="4"/>
  <c r="F48" i="4" s="1"/>
  <c r="D47" i="4"/>
  <c r="F47" i="4" s="1"/>
  <c r="D46" i="4"/>
  <c r="F46" i="4" s="1"/>
  <c r="D36" i="4"/>
  <c r="F36" i="4" s="1"/>
  <c r="W21" i="1" l="1"/>
  <c r="P31" i="1"/>
  <c r="X31" i="1" s="1"/>
  <c r="P24" i="1"/>
  <c r="X24" i="1" s="1"/>
  <c r="P22" i="1"/>
  <c r="X22" i="1" s="1"/>
  <c r="P17" i="1"/>
  <c r="X17" i="1" s="1"/>
  <c r="P15" i="1"/>
  <c r="X15" i="1" s="1"/>
  <c r="P13" i="1"/>
  <c r="X13" i="1" s="1"/>
  <c r="P16" i="1"/>
  <c r="X16" i="1" s="1"/>
  <c r="P10" i="1"/>
  <c r="P8" i="1"/>
  <c r="P7" i="1"/>
  <c r="P23" i="1"/>
  <c r="X23" i="1" s="1"/>
  <c r="P21" i="1"/>
  <c r="X21" i="1" s="1"/>
  <c r="P14" i="1"/>
  <c r="X14" i="1" s="1"/>
  <c r="P29" i="1"/>
  <c r="X29" i="1" s="1"/>
  <c r="P9" i="1"/>
  <c r="P6" i="1"/>
  <c r="P4" i="1"/>
  <c r="X4" i="1"/>
  <c r="I4" i="1"/>
  <c r="J4" i="11"/>
  <c r="C28" i="11"/>
  <c r="B28" i="11"/>
  <c r="E43" i="5"/>
  <c r="F3" i="5"/>
  <c r="J3" i="4"/>
  <c r="C4" i="11"/>
  <c r="L4" i="10"/>
  <c r="M4" i="10" s="1"/>
  <c r="N4" i="10" s="1"/>
  <c r="O4" i="10" s="1"/>
  <c r="D4" i="3"/>
  <c r="B1" i="4"/>
  <c r="C21" i="4"/>
  <c r="B21" i="4"/>
  <c r="C9" i="4"/>
  <c r="C11" i="4" s="1"/>
  <c r="C6" i="4"/>
  <c r="C8" i="4" s="1"/>
  <c r="B9" i="4"/>
  <c r="B11" i="4" s="1"/>
  <c r="B8" i="4"/>
  <c r="D33" i="2"/>
  <c r="C33" i="2"/>
  <c r="U20" i="1"/>
  <c r="M25" i="1"/>
  <c r="L25" i="1"/>
  <c r="M18" i="1"/>
  <c r="L18" i="1"/>
  <c r="M11" i="1"/>
  <c r="L11" i="1"/>
  <c r="E25" i="1"/>
  <c r="E18" i="1"/>
  <c r="E11" i="1"/>
  <c r="D25" i="1"/>
  <c r="D18" i="1"/>
  <c r="D11" i="1"/>
  <c r="F4" i="3" l="1"/>
  <c r="D24" i="3"/>
  <c r="D57" i="3" s="1"/>
  <c r="D65" i="3" s="1"/>
  <c r="Q31" i="1"/>
  <c r="Y31" i="1" s="1"/>
  <c r="Q17" i="1"/>
  <c r="Y17" i="1" s="1"/>
  <c r="Q15" i="1"/>
  <c r="Y15" i="1" s="1"/>
  <c r="Q13" i="1"/>
  <c r="Y13" i="1" s="1"/>
  <c r="Q21" i="1"/>
  <c r="Y21" i="1" s="1"/>
  <c r="Q10" i="1"/>
  <c r="Q9" i="1"/>
  <c r="Q7" i="1"/>
  <c r="Q23" i="1"/>
  <c r="Y23" i="1" s="1"/>
  <c r="Q14" i="1"/>
  <c r="Y14" i="1" s="1"/>
  <c r="Q8" i="1"/>
  <c r="Q16" i="1"/>
  <c r="Y16" i="1" s="1"/>
  <c r="Q29" i="1"/>
  <c r="Y29" i="1" s="1"/>
  <c r="Q24" i="1"/>
  <c r="Y24" i="1" s="1"/>
  <c r="Q22" i="1"/>
  <c r="Y22" i="1" s="1"/>
  <c r="Q6" i="1"/>
  <c r="Q4" i="1"/>
  <c r="Y4" i="1"/>
  <c r="J4" i="1"/>
  <c r="F43" i="5"/>
  <c r="G3" i="5"/>
  <c r="K4" i="11"/>
  <c r="D28" i="11"/>
  <c r="L3" i="4"/>
  <c r="D4" i="11"/>
  <c r="M27" i="1"/>
  <c r="M33" i="1" s="1"/>
  <c r="C24" i="4" s="1"/>
  <c r="V20" i="1"/>
  <c r="W20" i="1" s="1"/>
  <c r="X20" i="1" s="1"/>
  <c r="Y20" i="1" s="1"/>
  <c r="Z20" i="1" s="1"/>
  <c r="V7" i="1"/>
  <c r="V8" i="1"/>
  <c r="C12" i="4"/>
  <c r="C22" i="4" s="1"/>
  <c r="U25" i="1"/>
  <c r="U11" i="1"/>
  <c r="T25" i="1"/>
  <c r="T18" i="1"/>
  <c r="U18" i="1"/>
  <c r="V9" i="1"/>
  <c r="V10" i="1"/>
  <c r="N25" i="1"/>
  <c r="O25" i="1"/>
  <c r="B12" i="4"/>
  <c r="B22" i="4" s="1"/>
  <c r="L27" i="1"/>
  <c r="L33" i="1" s="1"/>
  <c r="T11" i="1"/>
  <c r="E27" i="1"/>
  <c r="E33" i="1" s="1"/>
  <c r="D27" i="1"/>
  <c r="D33" i="1" s="1"/>
  <c r="D1" i="1"/>
  <c r="G4" i="3" l="1"/>
  <c r="F57" i="3"/>
  <c r="F65" i="3" s="1"/>
  <c r="F24" i="3"/>
  <c r="R31" i="1"/>
  <c r="Z31" i="1" s="1"/>
  <c r="R8" i="1"/>
  <c r="R14" i="1"/>
  <c r="Z14" i="1" s="1"/>
  <c r="R6" i="1"/>
  <c r="R23" i="1"/>
  <c r="Z23" i="1" s="1"/>
  <c r="R21" i="1"/>
  <c r="Z21" i="1" s="1"/>
  <c r="R10" i="1"/>
  <c r="R29" i="1"/>
  <c r="Z29" i="1" s="1"/>
  <c r="R16" i="1"/>
  <c r="Z16" i="1" s="1"/>
  <c r="R24" i="1"/>
  <c r="Z24" i="1" s="1"/>
  <c r="R22" i="1"/>
  <c r="Z22" i="1" s="1"/>
  <c r="R17" i="1"/>
  <c r="Z17" i="1" s="1"/>
  <c r="R15" i="1"/>
  <c r="Z15" i="1" s="1"/>
  <c r="R13" i="1"/>
  <c r="Z13" i="1" s="1"/>
  <c r="R9" i="1"/>
  <c r="R4" i="1"/>
  <c r="Z4" i="1"/>
  <c r="N3" i="4"/>
  <c r="F4" i="11" s="1"/>
  <c r="E4" i="11"/>
  <c r="G43" i="5"/>
  <c r="H3" i="5"/>
  <c r="L4" i="11"/>
  <c r="E28" i="11"/>
  <c r="C25" i="4"/>
  <c r="C29" i="4" s="1"/>
  <c r="C31" i="4" s="1"/>
  <c r="C32" i="4" s="1"/>
  <c r="C37" i="4" s="1"/>
  <c r="U27" i="1"/>
  <c r="U33" i="1" s="1"/>
  <c r="B24" i="4"/>
  <c r="B25" i="4" s="1"/>
  <c r="T27" i="1"/>
  <c r="T33" i="1" s="1"/>
  <c r="F36" i="9"/>
  <c r="G15" i="9"/>
  <c r="B1" i="9"/>
  <c r="C10" i="9"/>
  <c r="B10" i="9"/>
  <c r="D10" i="9"/>
  <c r="D14" i="4" s="1"/>
  <c r="F46" i="9"/>
  <c r="E42" i="9"/>
  <c r="G42" i="9" s="1"/>
  <c r="H42" i="9" s="1"/>
  <c r="H41" i="9"/>
  <c r="P32" i="2"/>
  <c r="O32" i="2"/>
  <c r="M23" i="2"/>
  <c r="M24" i="2" s="1"/>
  <c r="M17" i="2"/>
  <c r="M18" i="2" s="1"/>
  <c r="M11" i="2"/>
  <c r="M12" i="2" s="1"/>
  <c r="K24" i="2"/>
  <c r="N24" i="2" s="1"/>
  <c r="K23" i="2"/>
  <c r="L23" i="2" s="1"/>
  <c r="K18" i="2"/>
  <c r="N18" i="2" s="1"/>
  <c r="K17" i="2"/>
  <c r="L17" i="2" s="1"/>
  <c r="K11" i="2"/>
  <c r="L11" i="2" s="1"/>
  <c r="M5" i="2"/>
  <c r="K12" i="2"/>
  <c r="N12" i="2" s="1"/>
  <c r="K5" i="2"/>
  <c r="L5" i="2" s="1"/>
  <c r="J12" i="2"/>
  <c r="K6" i="2"/>
  <c r="N6" i="2" s="1"/>
  <c r="J30" i="2"/>
  <c r="J31" i="2" s="1"/>
  <c r="J24" i="2"/>
  <c r="J18" i="2"/>
  <c r="J6" i="2"/>
  <c r="G30" i="2"/>
  <c r="G31" i="2" s="1"/>
  <c r="G24" i="2"/>
  <c r="I24" i="2" s="1"/>
  <c r="I23" i="2"/>
  <c r="G18" i="2"/>
  <c r="I18" i="2" s="1"/>
  <c r="I17" i="2"/>
  <c r="G12" i="2"/>
  <c r="I12" i="2" s="1"/>
  <c r="I11" i="2"/>
  <c r="G6" i="2"/>
  <c r="I6" i="2" s="1"/>
  <c r="I5" i="2"/>
  <c r="H4" i="3" l="1"/>
  <c r="H57" i="3"/>
  <c r="H65" i="3" s="1"/>
  <c r="H24" i="3"/>
  <c r="H43" i="5"/>
  <c r="I3" i="5"/>
  <c r="I43" i="5" s="1"/>
  <c r="M4" i="11"/>
  <c r="F28" i="11"/>
  <c r="N4" i="11"/>
  <c r="G28" i="11"/>
  <c r="B29" i="4"/>
  <c r="B31" i="4" s="1"/>
  <c r="B32" i="4" s="1"/>
  <c r="B37" i="4" s="1"/>
  <c r="N23" i="2"/>
  <c r="N17" i="2"/>
  <c r="N11" i="2"/>
  <c r="N5" i="2"/>
  <c r="O5" i="2" s="1"/>
  <c r="L12" i="2"/>
  <c r="L14" i="2" s="1"/>
  <c r="I26" i="2"/>
  <c r="L24" i="2"/>
  <c r="L26" i="2" s="1"/>
  <c r="I14" i="2"/>
  <c r="I30" i="2"/>
  <c r="I20" i="2"/>
  <c r="I31" i="2"/>
  <c r="L18" i="2"/>
  <c r="L20" i="2" s="1"/>
  <c r="L6" i="2"/>
  <c r="L8" i="2" s="1"/>
  <c r="L30" i="2"/>
  <c r="E6" i="4" s="1"/>
  <c r="E8" i="4" s="1"/>
  <c r="I8" i="2"/>
  <c r="I4" i="3" l="1"/>
  <c r="J57" i="3"/>
  <c r="J65" i="3" s="1"/>
  <c r="J24" i="3"/>
  <c r="H31" i="2"/>
  <c r="D9" i="4"/>
  <c r="D11" i="4" s="1"/>
  <c r="H30" i="2"/>
  <c r="D6" i="4"/>
  <c r="D8" i="4" s="1"/>
  <c r="I33" i="2"/>
  <c r="L31" i="2"/>
  <c r="K30" i="2"/>
  <c r="L57" i="3" l="1"/>
  <c r="L65" i="3" s="1"/>
  <c r="L24" i="3"/>
  <c r="K31" i="2"/>
  <c r="E9" i="4"/>
  <c r="E11" i="4" s="1"/>
  <c r="E12" i="4" s="1"/>
  <c r="D12" i="4"/>
  <c r="L33" i="2"/>
  <c r="O23" i="2" l="1"/>
  <c r="P23" i="2" s="1"/>
  <c r="O17" i="2"/>
  <c r="P17" i="2" s="1"/>
  <c r="O11" i="2"/>
  <c r="M30" i="2"/>
  <c r="O30" i="2" l="1"/>
  <c r="F6" i="4" s="1"/>
  <c r="C68" i="3"/>
  <c r="J69" i="3"/>
  <c r="I69" i="3"/>
  <c r="H69" i="3"/>
  <c r="G69" i="3"/>
  <c r="F69" i="3"/>
  <c r="D69" i="3"/>
  <c r="D67" i="3"/>
  <c r="D68" i="3" l="1"/>
  <c r="D70" i="3" s="1"/>
  <c r="E67" i="3"/>
  <c r="E68" i="3" s="1"/>
  <c r="E70" i="3" l="1"/>
  <c r="F67" i="3"/>
  <c r="F68" i="3" l="1"/>
  <c r="F70" i="3" s="1"/>
  <c r="G67" i="3"/>
  <c r="G68" i="3" l="1"/>
  <c r="G70" i="3" s="1"/>
  <c r="H67" i="3"/>
  <c r="I67" i="3" l="1"/>
  <c r="I68" i="3" s="1"/>
  <c r="I70" i="3" s="1"/>
  <c r="H68" i="3"/>
  <c r="H70" i="3" s="1"/>
  <c r="J67" i="3" l="1"/>
  <c r="J68" i="3" s="1"/>
  <c r="J70" i="3" s="1"/>
  <c r="K67" i="3" l="1"/>
  <c r="K68" i="3" s="1"/>
  <c r="K69" i="3" l="1"/>
  <c r="O69" i="3" s="1"/>
  <c r="L67" i="3" l="1"/>
  <c r="L68" i="3" s="1"/>
  <c r="L70" i="3" s="1"/>
  <c r="K70" i="3"/>
  <c r="M67" i="3" l="1"/>
  <c r="M68" i="3" s="1"/>
  <c r="M70" i="3" s="1"/>
  <c r="C59" i="3" l="1"/>
  <c r="D6" i="3"/>
  <c r="I22" i="5" l="1"/>
  <c r="H22" i="5"/>
  <c r="N49" i="4"/>
  <c r="N48" i="4"/>
  <c r="N47" i="4"/>
  <c r="N46" i="4"/>
  <c r="L47" i="4"/>
  <c r="L49" i="4"/>
  <c r="L48" i="4"/>
  <c r="L46" i="4"/>
  <c r="J46" i="4"/>
  <c r="H46" i="4"/>
  <c r="N45" i="4"/>
  <c r="L45" i="4"/>
  <c r="D19" i="9" l="1"/>
  <c r="H7" i="3" l="1"/>
  <c r="J25" i="1" l="1"/>
  <c r="J18" i="1"/>
  <c r="J11" i="1"/>
  <c r="I25" i="1"/>
  <c r="I18" i="1"/>
  <c r="I11" i="1"/>
  <c r="J10" i="9"/>
  <c r="N14" i="4" s="1"/>
  <c r="I10" i="9"/>
  <c r="L14" i="4" s="1"/>
  <c r="J27" i="1" l="1"/>
  <c r="J33" i="1" s="1"/>
  <c r="N39" i="4" s="1"/>
  <c r="I27" i="1"/>
  <c r="I33" i="1" s="1"/>
  <c r="Q25" i="1"/>
  <c r="R25" i="1"/>
  <c r="R18" i="1"/>
  <c r="R11" i="1"/>
  <c r="Q11" i="1"/>
  <c r="Q18" i="1"/>
  <c r="E17" i="9"/>
  <c r="I9" i="3" l="1"/>
  <c r="L39" i="4"/>
  <c r="H9" i="3"/>
  <c r="R27" i="1"/>
  <c r="R33" i="1" s="1"/>
  <c r="N24" i="4" s="1"/>
  <c r="Q27" i="1"/>
  <c r="Q33" i="1" s="1"/>
  <c r="L24" i="4" s="1"/>
  <c r="D29" i="9"/>
  <c r="B29" i="11" s="1"/>
  <c r="C48" i="11"/>
  <c r="C47" i="11"/>
  <c r="G22" i="5" l="1"/>
  <c r="F22" i="5"/>
  <c r="E22" i="5" l="1"/>
  <c r="B27" i="3" l="1"/>
  <c r="E30" i="3" s="1"/>
  <c r="E51" i="4" s="1"/>
  <c r="F59" i="9"/>
  <c r="F58" i="9"/>
  <c r="E64" i="9"/>
  <c r="E20" i="4" s="1"/>
  <c r="D64" i="9"/>
  <c r="D20" i="4" s="1"/>
  <c r="E6" i="5"/>
  <c r="E8" i="5"/>
  <c r="I30" i="3" l="1"/>
  <c r="I61" i="3" s="1"/>
  <c r="H30" i="3"/>
  <c r="H61" i="3" s="1"/>
  <c r="D30" i="3"/>
  <c r="D51" i="4" s="1"/>
  <c r="M30" i="3"/>
  <c r="M61" i="3" s="1"/>
  <c r="L30" i="3"/>
  <c r="L61" i="3" s="1"/>
  <c r="J30" i="3"/>
  <c r="J61" i="3" s="1"/>
  <c r="F30" i="3"/>
  <c r="F61" i="3" s="1"/>
  <c r="D61" i="3" l="1"/>
  <c r="E61" i="3"/>
  <c r="N51" i="4"/>
  <c r="F6" i="5"/>
  <c r="F8" i="5"/>
  <c r="H10" i="9"/>
  <c r="J14" i="4" s="1"/>
  <c r="E13" i="9"/>
  <c r="E14" i="9"/>
  <c r="E18" i="9"/>
  <c r="E21" i="9"/>
  <c r="E22" i="9"/>
  <c r="E25" i="9"/>
  <c r="E26" i="9"/>
  <c r="F33" i="9"/>
  <c r="G33" i="9" s="1"/>
  <c r="H33" i="9" s="1"/>
  <c r="I33" i="9" s="1"/>
  <c r="F35" i="9"/>
  <c r="G35" i="9" s="1"/>
  <c r="H35" i="9" s="1"/>
  <c r="I35" i="9" s="1"/>
  <c r="J35" i="9" s="1"/>
  <c r="G36" i="9"/>
  <c r="H36" i="9" s="1"/>
  <c r="I36" i="9" s="1"/>
  <c r="J36" i="9" s="1"/>
  <c r="F37" i="9"/>
  <c r="G37" i="9" s="1"/>
  <c r="H37" i="9" s="1"/>
  <c r="I37" i="9" s="1"/>
  <c r="J37" i="9" s="1"/>
  <c r="G46" i="9"/>
  <c r="H46" i="9" s="1"/>
  <c r="I46" i="9" s="1"/>
  <c r="F47" i="9"/>
  <c r="F62" i="9"/>
  <c r="G62" i="9" s="1"/>
  <c r="G64" i="9" s="1"/>
  <c r="P18" i="1"/>
  <c r="G10" i="9"/>
  <c r="H14" i="4" s="1"/>
  <c r="D15" i="9"/>
  <c r="D23" i="9"/>
  <c r="D27" i="9"/>
  <c r="D38" i="9"/>
  <c r="D16" i="4" s="1"/>
  <c r="D41" i="9"/>
  <c r="D43" i="9" s="1"/>
  <c r="D17" i="4" s="1"/>
  <c r="D49" i="9"/>
  <c r="D18" i="4" s="1"/>
  <c r="D54" i="9"/>
  <c r="D19" i="4" s="1"/>
  <c r="E10" i="9"/>
  <c r="E14" i="4" s="1"/>
  <c r="E38" i="9"/>
  <c r="E16" i="4" s="1"/>
  <c r="E49" i="9"/>
  <c r="E18" i="4" s="1"/>
  <c r="E54" i="9"/>
  <c r="E19" i="4" s="1"/>
  <c r="V6" i="1"/>
  <c r="W7" i="1"/>
  <c r="X7" i="1" s="1"/>
  <c r="Y7" i="1" s="1"/>
  <c r="Z7" i="1" s="1"/>
  <c r="W8" i="1"/>
  <c r="X8" i="1" s="1"/>
  <c r="Y8" i="1" s="1"/>
  <c r="Z8" i="1" s="1"/>
  <c r="W10" i="1"/>
  <c r="X10" i="1" s="1"/>
  <c r="Y10" i="1" s="1"/>
  <c r="Z10" i="1" s="1"/>
  <c r="F11" i="1"/>
  <c r="F18" i="1"/>
  <c r="F25" i="1"/>
  <c r="B34" i="3"/>
  <c r="B38" i="3"/>
  <c r="H40" i="3" s="1"/>
  <c r="W9" i="1"/>
  <c r="X9" i="1" s="1"/>
  <c r="Y9" i="1" s="1"/>
  <c r="Z9" i="1" s="1"/>
  <c r="G11" i="1"/>
  <c r="G18" i="1"/>
  <c r="G25" i="1"/>
  <c r="H45" i="4"/>
  <c r="H48" i="4"/>
  <c r="H49" i="4"/>
  <c r="H11" i="1"/>
  <c r="H18" i="1"/>
  <c r="H25" i="1"/>
  <c r="J45" i="4"/>
  <c r="J47" i="4"/>
  <c r="J48" i="4"/>
  <c r="J49" i="4"/>
  <c r="F60" i="9"/>
  <c r="F61" i="9"/>
  <c r="F57" i="9"/>
  <c r="F53" i="9"/>
  <c r="G53" i="9" s="1"/>
  <c r="H53" i="9" s="1"/>
  <c r="I53" i="9" s="1"/>
  <c r="J53" i="9" s="1"/>
  <c r="F52" i="9"/>
  <c r="F9" i="9"/>
  <c r="F8" i="9"/>
  <c r="F7" i="9"/>
  <c r="M6" i="2"/>
  <c r="O6" i="2" s="1"/>
  <c r="O24" i="2"/>
  <c r="P24" i="2" s="1"/>
  <c r="O18" i="2"/>
  <c r="P18" i="2" s="1"/>
  <c r="F34" i="9"/>
  <c r="G34" i="9" s="1"/>
  <c r="H34" i="9" s="1"/>
  <c r="I34" i="9" s="1"/>
  <c r="J34" i="9" s="1"/>
  <c r="F48" i="9"/>
  <c r="G48" i="9" s="1"/>
  <c r="I40" i="3" l="1"/>
  <c r="F51" i="4"/>
  <c r="N11" i="1"/>
  <c r="E41" i="9"/>
  <c r="G52" i="9"/>
  <c r="H52" i="9" s="1"/>
  <c r="I52" i="9" s="1"/>
  <c r="I54" i="9" s="1"/>
  <c r="L19" i="4" s="1"/>
  <c r="G47" i="9"/>
  <c r="H47" i="9" s="1"/>
  <c r="I47" i="9" s="1"/>
  <c r="J47" i="9" s="1"/>
  <c r="F64" i="9"/>
  <c r="F20" i="4" s="1"/>
  <c r="Q25" i="2"/>
  <c r="R25" i="2" s="1"/>
  <c r="S25" i="2" s="1"/>
  <c r="Q13" i="2"/>
  <c r="R13" i="2" s="1"/>
  <c r="S13" i="2" s="1"/>
  <c r="Q19" i="2"/>
  <c r="R19" i="2" s="1"/>
  <c r="S19" i="2" s="1"/>
  <c r="Q7" i="2"/>
  <c r="F32" i="5"/>
  <c r="J53" i="4"/>
  <c r="J52" i="9"/>
  <c r="J54" i="9" s="1"/>
  <c r="N19" i="4" s="1"/>
  <c r="H54" i="9"/>
  <c r="J19" i="4" s="1"/>
  <c r="J33" i="9"/>
  <c r="J38" i="9" s="1"/>
  <c r="N16" i="4" s="1"/>
  <c r="I38" i="9"/>
  <c r="L16" i="4" s="1"/>
  <c r="C38" i="3"/>
  <c r="D38" i="3" s="1"/>
  <c r="D39" i="3" s="1"/>
  <c r="K40" i="3"/>
  <c r="M40" i="3"/>
  <c r="L40" i="3"/>
  <c r="G40" i="3"/>
  <c r="J40" i="3"/>
  <c r="F40" i="3"/>
  <c r="K36" i="3"/>
  <c r="E36" i="3"/>
  <c r="E52" i="4" s="1"/>
  <c r="L36" i="3"/>
  <c r="I36" i="3"/>
  <c r="H36" i="3"/>
  <c r="I6" i="5"/>
  <c r="H6" i="5"/>
  <c r="J36" i="3"/>
  <c r="L52" i="4" s="1"/>
  <c r="M36" i="3"/>
  <c r="M45" i="3" s="1"/>
  <c r="D36" i="3"/>
  <c r="D52" i="4" s="1"/>
  <c r="F52" i="4" s="1"/>
  <c r="O12" i="2"/>
  <c r="C34" i="3"/>
  <c r="D34" i="3" s="1"/>
  <c r="D35" i="3" s="1"/>
  <c r="G36" i="3"/>
  <c r="F36" i="3"/>
  <c r="G6" i="5"/>
  <c r="G8" i="5"/>
  <c r="H8" i="5"/>
  <c r="P11" i="1"/>
  <c r="F27" i="1"/>
  <c r="F33" i="1" s="1"/>
  <c r="W18" i="1"/>
  <c r="V18" i="1"/>
  <c r="N18" i="1"/>
  <c r="J46" i="9"/>
  <c r="W6" i="1"/>
  <c r="W11" i="1" s="1"/>
  <c r="V11" i="1"/>
  <c r="E23" i="9"/>
  <c r="E43" i="9"/>
  <c r="E17" i="4" s="1"/>
  <c r="E29" i="9"/>
  <c r="H62" i="9"/>
  <c r="H20" i="4"/>
  <c r="E27" i="9"/>
  <c r="F27" i="9" s="1"/>
  <c r="F38" i="9"/>
  <c r="F16" i="4" s="1"/>
  <c r="V25" i="1"/>
  <c r="P25" i="1"/>
  <c r="F10" i="9"/>
  <c r="F14" i="4" s="1"/>
  <c r="F54" i="9"/>
  <c r="F19" i="4" s="1"/>
  <c r="H27" i="1"/>
  <c r="H33" i="1" s="1"/>
  <c r="G27" i="1"/>
  <c r="G33" i="1" s="1"/>
  <c r="O18" i="1"/>
  <c r="O11" i="1"/>
  <c r="D30" i="9"/>
  <c r="D15" i="4" s="1"/>
  <c r="D21" i="4" s="1"/>
  <c r="D22" i="4" s="1"/>
  <c r="E19" i="9"/>
  <c r="E15" i="9"/>
  <c r="F49" i="9"/>
  <c r="F18" i="4" s="1"/>
  <c r="M31" i="2"/>
  <c r="G54" i="9" l="1"/>
  <c r="H19" i="4" s="1"/>
  <c r="R7" i="2"/>
  <c r="Q32" i="2"/>
  <c r="F39" i="4"/>
  <c r="D39" i="4"/>
  <c r="E32" i="5"/>
  <c r="I62" i="9"/>
  <c r="H64" i="9"/>
  <c r="J20" i="4" s="1"/>
  <c r="H53" i="4"/>
  <c r="E38" i="3"/>
  <c r="F38" i="3" s="1"/>
  <c r="F9" i="3"/>
  <c r="H39" i="4"/>
  <c r="L53" i="4"/>
  <c r="G32" i="5"/>
  <c r="N53" i="4"/>
  <c r="I32" i="5"/>
  <c r="G9" i="3"/>
  <c r="J39" i="4"/>
  <c r="H32" i="5"/>
  <c r="I33" i="5"/>
  <c r="H33" i="5"/>
  <c r="N52" i="4"/>
  <c r="L45" i="3"/>
  <c r="Y25" i="1"/>
  <c r="Z25" i="1"/>
  <c r="E45" i="3"/>
  <c r="O36" i="3"/>
  <c r="D45" i="3"/>
  <c r="E34" i="3"/>
  <c r="E35" i="3" s="1"/>
  <c r="H52" i="4"/>
  <c r="J52" i="4"/>
  <c r="D9" i="3"/>
  <c r="I8" i="5"/>
  <c r="N27" i="1"/>
  <c r="N33" i="1" s="1"/>
  <c r="F24" i="4" s="1"/>
  <c r="P27" i="1"/>
  <c r="P33" i="1" s="1"/>
  <c r="J24" i="4" s="1"/>
  <c r="V27" i="1"/>
  <c r="E7" i="5" s="1"/>
  <c r="E4" i="5" s="1"/>
  <c r="X6" i="1"/>
  <c r="O27" i="1"/>
  <c r="O33" i="1" s="1"/>
  <c r="H24" i="4" s="1"/>
  <c r="W25" i="1"/>
  <c r="W27" i="1" s="1"/>
  <c r="X25" i="1"/>
  <c r="D66" i="9"/>
  <c r="E30" i="9"/>
  <c r="E15" i="4" s="1"/>
  <c r="E21" i="4" s="1"/>
  <c r="E22" i="4" s="1"/>
  <c r="H48" i="9"/>
  <c r="G49" i="9"/>
  <c r="S7" i="2" l="1"/>
  <c r="S32" i="2" s="1"/>
  <c r="R32" i="2"/>
  <c r="E24" i="4"/>
  <c r="E25" i="4" s="1"/>
  <c r="D24" i="4"/>
  <c r="D25" i="4" s="1"/>
  <c r="E28" i="5"/>
  <c r="H49" i="9"/>
  <c r="J18" i="4" s="1"/>
  <c r="I48" i="9"/>
  <c r="E39" i="3"/>
  <c r="D10" i="3"/>
  <c r="F39" i="3"/>
  <c r="G38" i="3"/>
  <c r="J62" i="9"/>
  <c r="J64" i="9" s="1"/>
  <c r="N20" i="4" s="1"/>
  <c r="I64" i="9"/>
  <c r="L20" i="4" s="1"/>
  <c r="X18" i="1"/>
  <c r="X11" i="1"/>
  <c r="Y6" i="1"/>
  <c r="Z6" i="1" s="1"/>
  <c r="F34" i="3"/>
  <c r="F35" i="3" s="1"/>
  <c r="V33" i="1"/>
  <c r="F7" i="5"/>
  <c r="F4" i="5" s="1"/>
  <c r="W33" i="1"/>
  <c r="E66" i="9"/>
  <c r="H18" i="4"/>
  <c r="X27" i="1" l="1"/>
  <c r="X33" i="1" s="1"/>
  <c r="H38" i="3"/>
  <c r="F28" i="5"/>
  <c r="G39" i="3"/>
  <c r="J48" i="9"/>
  <c r="J49" i="9" s="1"/>
  <c r="N18" i="4" s="1"/>
  <c r="I49" i="9"/>
  <c r="L18" i="4" s="1"/>
  <c r="Y18" i="1"/>
  <c r="Z18" i="1"/>
  <c r="Z11" i="1"/>
  <c r="Y11" i="1"/>
  <c r="G34" i="3"/>
  <c r="H34" i="3" s="1"/>
  <c r="G7" i="5" l="1"/>
  <c r="G4" i="5" s="1"/>
  <c r="Z27" i="1"/>
  <c r="Y27" i="1"/>
  <c r="H7" i="5" s="1"/>
  <c r="H4" i="5" s="1"/>
  <c r="H39" i="3"/>
  <c r="I38" i="3"/>
  <c r="G35" i="3"/>
  <c r="H35" i="3"/>
  <c r="I34" i="3"/>
  <c r="J34" i="3" s="1"/>
  <c r="Z33" i="1" l="1"/>
  <c r="I7" i="5"/>
  <c r="I4" i="5" s="1"/>
  <c r="Y33" i="1"/>
  <c r="J38" i="3"/>
  <c r="I39" i="3"/>
  <c r="G28" i="5"/>
  <c r="K34" i="3"/>
  <c r="L34" i="3" s="1"/>
  <c r="I35" i="3"/>
  <c r="P12" i="2"/>
  <c r="Q12" i="2" s="1"/>
  <c r="J39" i="3" l="1"/>
  <c r="H28" i="5"/>
  <c r="K38" i="3"/>
  <c r="R12" i="2"/>
  <c r="S12" i="2" s="1"/>
  <c r="K35" i="3"/>
  <c r="J35" i="3"/>
  <c r="L38" i="3" l="1"/>
  <c r="N41" i="3"/>
  <c r="K39" i="3"/>
  <c r="I28" i="5"/>
  <c r="L35" i="3"/>
  <c r="M34" i="3"/>
  <c r="P6" i="2"/>
  <c r="Q6" i="2" s="1"/>
  <c r="Q17" i="2"/>
  <c r="Q18" i="2" l="1"/>
  <c r="Q24" i="2"/>
  <c r="R24" i="2" s="1"/>
  <c r="S24" i="2" s="1"/>
  <c r="P31" i="2"/>
  <c r="M38" i="3"/>
  <c r="L39" i="3"/>
  <c r="M35" i="3"/>
  <c r="Q23" i="2"/>
  <c r="O31" i="2"/>
  <c r="R17" i="2"/>
  <c r="S17" i="2" s="1"/>
  <c r="P20" i="2"/>
  <c r="O20" i="2"/>
  <c r="F23" i="9"/>
  <c r="P11" i="2"/>
  <c r="Q11" i="2" s="1"/>
  <c r="N31" i="2" l="1"/>
  <c r="F9" i="4"/>
  <c r="F11" i="4" s="1"/>
  <c r="H9" i="4"/>
  <c r="L6" i="10" s="1"/>
  <c r="Q31" i="2"/>
  <c r="J9" i="4" s="1"/>
  <c r="J11" i="4" s="1"/>
  <c r="R18" i="2"/>
  <c r="S18" i="2" s="1"/>
  <c r="Q20" i="2"/>
  <c r="R20" i="2" s="1"/>
  <c r="S20" i="2" s="1"/>
  <c r="O26" i="2"/>
  <c r="O14" i="2"/>
  <c r="R6" i="2"/>
  <c r="C29" i="11"/>
  <c r="R23" i="2"/>
  <c r="S23" i="2" s="1"/>
  <c r="P26" i="2"/>
  <c r="F15" i="9"/>
  <c r="G23" i="9"/>
  <c r="G41" i="9"/>
  <c r="G38" i="9"/>
  <c r="H16" i="4" s="1"/>
  <c r="P5" i="2"/>
  <c r="H11" i="4" l="1"/>
  <c r="G27" i="9"/>
  <c r="P8" i="2"/>
  <c r="Q5" i="2"/>
  <c r="Q30" i="2" s="1"/>
  <c r="Q33" i="2" s="1"/>
  <c r="Q26" i="2"/>
  <c r="R26" i="2" s="1"/>
  <c r="S26" i="2" s="1"/>
  <c r="G29" i="9"/>
  <c r="D29" i="11" s="1"/>
  <c r="I23" i="9"/>
  <c r="I15" i="9"/>
  <c r="P30" i="2"/>
  <c r="P14" i="2"/>
  <c r="M6" i="10"/>
  <c r="G12" i="5" s="1"/>
  <c r="S6" i="2"/>
  <c r="S31" i="2" s="1"/>
  <c r="N9" i="4" s="1"/>
  <c r="R31" i="2"/>
  <c r="L9" i="4" s="1"/>
  <c r="K6" i="10"/>
  <c r="E12" i="5" s="1"/>
  <c r="F12" i="5"/>
  <c r="H23" i="9"/>
  <c r="O8" i="2"/>
  <c r="H6" i="4" l="1"/>
  <c r="L10" i="10" s="1"/>
  <c r="F8" i="4"/>
  <c r="F12" i="4" s="1"/>
  <c r="H27" i="9"/>
  <c r="R5" i="2"/>
  <c r="S5" i="2" s="1"/>
  <c r="Q14" i="2"/>
  <c r="R14" i="2" s="1"/>
  <c r="S14" i="2" s="1"/>
  <c r="Q8" i="2"/>
  <c r="R8" i="2" s="1"/>
  <c r="S8" i="2" s="1"/>
  <c r="J23" i="9"/>
  <c r="J15" i="9"/>
  <c r="N11" i="4"/>
  <c r="O6" i="10"/>
  <c r="P33" i="2"/>
  <c r="L11" i="4"/>
  <c r="N6" i="10"/>
  <c r="R11" i="2"/>
  <c r="J6" i="4"/>
  <c r="H15" i="9"/>
  <c r="H29" i="9"/>
  <c r="E29" i="11" s="1"/>
  <c r="H38" i="9"/>
  <c r="J16" i="4" s="1"/>
  <c r="F43" i="9"/>
  <c r="F17" i="4" s="1"/>
  <c r="G43" i="9"/>
  <c r="H17" i="4" s="1"/>
  <c r="F19" i="9"/>
  <c r="G19" i="9"/>
  <c r="G30" i="9" s="1"/>
  <c r="N30" i="2"/>
  <c r="O33" i="2"/>
  <c r="J5" i="11" l="1"/>
  <c r="H8" i="4"/>
  <c r="C5" i="11" s="1"/>
  <c r="I11" i="4"/>
  <c r="K10" i="10"/>
  <c r="E13" i="5" s="1"/>
  <c r="I27" i="9"/>
  <c r="I29" i="9"/>
  <c r="F29" i="11" s="1"/>
  <c r="I41" i="9"/>
  <c r="H43" i="9"/>
  <c r="J17" i="4" s="1"/>
  <c r="I42" i="9"/>
  <c r="M11" i="4"/>
  <c r="K11" i="4"/>
  <c r="M10" i="10"/>
  <c r="G13" i="5" s="1"/>
  <c r="J8" i="4"/>
  <c r="D5" i="11" s="1"/>
  <c r="I12" i="5"/>
  <c r="O11" i="4"/>
  <c r="H12" i="5"/>
  <c r="R30" i="2"/>
  <c r="L6" i="4" s="1"/>
  <c r="S11" i="2"/>
  <c r="S30" i="2" s="1"/>
  <c r="S33" i="2" s="1"/>
  <c r="H19" i="9"/>
  <c r="H30" i="9" s="1"/>
  <c r="J15" i="4" s="1"/>
  <c r="G11" i="4"/>
  <c r="B5" i="11"/>
  <c r="F30" i="9"/>
  <c r="H15" i="4"/>
  <c r="H21" i="4" s="1"/>
  <c r="L14" i="10" s="1"/>
  <c r="F34" i="5" s="1"/>
  <c r="G66" i="9"/>
  <c r="F13" i="5"/>
  <c r="G12" i="4"/>
  <c r="F66" i="9" l="1"/>
  <c r="F15" i="4"/>
  <c r="F21" i="4" s="1"/>
  <c r="F22" i="4" s="1"/>
  <c r="F25" i="4" s="1"/>
  <c r="H12" i="4"/>
  <c r="K5" i="11" s="1"/>
  <c r="J27" i="9"/>
  <c r="J41" i="9"/>
  <c r="J29" i="9"/>
  <c r="G29" i="11" s="1"/>
  <c r="J21" i="4"/>
  <c r="M14" i="10" s="1"/>
  <c r="G34" i="5" s="1"/>
  <c r="J42" i="9"/>
  <c r="I43" i="9"/>
  <c r="L17" i="4" s="1"/>
  <c r="J12" i="4"/>
  <c r="L5" i="11" s="1"/>
  <c r="L8" i="4"/>
  <c r="N10" i="10"/>
  <c r="N6" i="4"/>
  <c r="R33" i="2"/>
  <c r="J19" i="9"/>
  <c r="I19" i="9"/>
  <c r="I30" i="9" s="1"/>
  <c r="H66" i="9"/>
  <c r="L17" i="10"/>
  <c r="F8" i="3" s="1"/>
  <c r="H22" i="4"/>
  <c r="K6" i="11" s="1"/>
  <c r="J30" i="9" l="1"/>
  <c r="I12" i="4"/>
  <c r="F58" i="5" s="1"/>
  <c r="F59" i="5" s="1"/>
  <c r="J43" i="9"/>
  <c r="N17" i="4" s="1"/>
  <c r="M17" i="10"/>
  <c r="L12" i="4"/>
  <c r="E5" i="11"/>
  <c r="J66" i="9"/>
  <c r="N15" i="4"/>
  <c r="I66" i="9"/>
  <c r="L15" i="4"/>
  <c r="L21" i="4" s="1"/>
  <c r="K12" i="4"/>
  <c r="G58" i="5" s="1"/>
  <c r="G59" i="5" s="1"/>
  <c r="J22" i="4"/>
  <c r="L6" i="11" s="1"/>
  <c r="N8" i="4"/>
  <c r="O10" i="10"/>
  <c r="H13" i="5"/>
  <c r="I22" i="4"/>
  <c r="H25" i="4"/>
  <c r="K7" i="11" s="1"/>
  <c r="G8" i="3" l="1"/>
  <c r="J38" i="4"/>
  <c r="H71" i="4"/>
  <c r="C6" i="11" s="1"/>
  <c r="C9" i="11" s="1"/>
  <c r="N21" i="4"/>
  <c r="O14" i="10" s="1"/>
  <c r="I34" i="5" s="1"/>
  <c r="L22" i="4"/>
  <c r="M6" i="11" s="1"/>
  <c r="M12" i="4"/>
  <c r="I58" i="5" s="1"/>
  <c r="I59" i="5" s="1"/>
  <c r="N12" i="4"/>
  <c r="N5" i="11" s="1"/>
  <c r="F5" i="11"/>
  <c r="N14" i="10"/>
  <c r="H58" i="5"/>
  <c r="H59" i="5" s="1"/>
  <c r="M5" i="11"/>
  <c r="J71" i="4"/>
  <c r="J25" i="4"/>
  <c r="L7" i="11" s="1"/>
  <c r="K22" i="4"/>
  <c r="I13" i="5"/>
  <c r="K14" i="10"/>
  <c r="E57" i="5"/>
  <c r="E58" i="5"/>
  <c r="E59" i="5" s="1"/>
  <c r="I25" i="4"/>
  <c r="J6" i="11"/>
  <c r="F71" i="4"/>
  <c r="B6" i="11" s="1"/>
  <c r="L71" i="4" l="1"/>
  <c r="E6" i="11" s="1"/>
  <c r="E9" i="11" s="1"/>
  <c r="M22" i="4"/>
  <c r="L25" i="4"/>
  <c r="M7" i="11" s="1"/>
  <c r="O17" i="10"/>
  <c r="I8" i="3" s="1"/>
  <c r="N22" i="4"/>
  <c r="N25" i="4" s="1"/>
  <c r="O25" i="4" s="1"/>
  <c r="O12" i="4"/>
  <c r="N71" i="4" s="1"/>
  <c r="F6" i="11" s="1"/>
  <c r="F9" i="11" s="1"/>
  <c r="D6" i="11"/>
  <c r="D9" i="11" s="1"/>
  <c r="H34" i="5"/>
  <c r="N17" i="10"/>
  <c r="K25" i="4"/>
  <c r="B9" i="11"/>
  <c r="J7" i="11"/>
  <c r="G22" i="4"/>
  <c r="E34" i="5"/>
  <c r="K17" i="10"/>
  <c r="D38" i="4" s="1"/>
  <c r="F38" i="4" l="1"/>
  <c r="M25" i="4"/>
  <c r="N6" i="11"/>
  <c r="N38" i="4"/>
  <c r="O22" i="4"/>
  <c r="N7" i="11"/>
  <c r="L38" i="4"/>
  <c r="H8" i="3"/>
  <c r="D8" i="3"/>
  <c r="H38" i="4"/>
  <c r="G25" i="4"/>
  <c r="G30" i="3" l="1"/>
  <c r="G61" i="3" s="1"/>
  <c r="C27" i="3"/>
  <c r="C54" i="3" s="1"/>
  <c r="D27" i="3" l="1"/>
  <c r="D59" i="3" s="1"/>
  <c r="H45" i="3"/>
  <c r="I45" i="3"/>
  <c r="G45" i="3"/>
  <c r="F33" i="5"/>
  <c r="J51" i="4"/>
  <c r="G10" i="3" s="1"/>
  <c r="C43" i="3"/>
  <c r="J45" i="3"/>
  <c r="F45" i="3"/>
  <c r="E33" i="5"/>
  <c r="H51" i="4"/>
  <c r="F10" i="3" s="1"/>
  <c r="E27" i="3" l="1"/>
  <c r="E29" i="3" s="1"/>
  <c r="D29" i="3"/>
  <c r="D28" i="3"/>
  <c r="D43" i="3"/>
  <c r="E29" i="5" l="1"/>
  <c r="E27" i="5" s="1"/>
  <c r="E28" i="3"/>
  <c r="E44" i="3" s="1"/>
  <c r="E27" i="4" s="1"/>
  <c r="E43" i="3"/>
  <c r="E59" i="3"/>
  <c r="D60" i="3"/>
  <c r="D44" i="3"/>
  <c r="E60" i="3"/>
  <c r="F27" i="4" l="1"/>
  <c r="F29" i="4" s="1"/>
  <c r="F31" i="4" s="1"/>
  <c r="F32" i="4" s="1"/>
  <c r="E23" i="5" s="1"/>
  <c r="D27" i="4"/>
  <c r="D29" i="4" s="1"/>
  <c r="D31" i="4" s="1"/>
  <c r="D32" i="4" s="1"/>
  <c r="D37" i="4" s="1"/>
  <c r="D41" i="4" s="1"/>
  <c r="E29" i="4"/>
  <c r="E31" i="4" s="1"/>
  <c r="E32" i="4" s="1"/>
  <c r="D48" i="3"/>
  <c r="E48" i="3"/>
  <c r="E62" i="3"/>
  <c r="D62" i="3"/>
  <c r="E37" i="4" l="1"/>
  <c r="E41" i="4"/>
  <c r="D43" i="4" s="1"/>
  <c r="D12" i="3" s="1"/>
  <c r="H47" i="4"/>
  <c r="F27" i="3"/>
  <c r="F59" i="3" l="1"/>
  <c r="F29" i="3"/>
  <c r="G27" i="3"/>
  <c r="G29" i="3" s="1"/>
  <c r="F28" i="3"/>
  <c r="F44" i="3" s="1"/>
  <c r="F43" i="3"/>
  <c r="F60" i="3" l="1"/>
  <c r="G43" i="3"/>
  <c r="H27" i="3"/>
  <c r="H29" i="3" s="1"/>
  <c r="F29" i="5"/>
  <c r="F27" i="5" s="1"/>
  <c r="G59" i="3"/>
  <c r="G28" i="3"/>
  <c r="G44" i="3" s="1"/>
  <c r="H27" i="4" s="1"/>
  <c r="G60" i="3" l="1"/>
  <c r="G62" i="3" s="1"/>
  <c r="F62" i="3"/>
  <c r="H43" i="3"/>
  <c r="I27" i="3"/>
  <c r="H59" i="3"/>
  <c r="H28" i="3"/>
  <c r="H44" i="3" s="1"/>
  <c r="F48" i="3"/>
  <c r="I29" i="3" l="1"/>
  <c r="J27" i="3"/>
  <c r="H29" i="4"/>
  <c r="I29" i="4" s="1"/>
  <c r="H60" i="3"/>
  <c r="I28" i="3"/>
  <c r="I44" i="3" s="1"/>
  <c r="J27" i="4" s="1"/>
  <c r="I43" i="3"/>
  <c r="I59" i="3"/>
  <c r="G48" i="3"/>
  <c r="J29" i="3" l="1"/>
  <c r="K27" i="3"/>
  <c r="H31" i="4"/>
  <c r="F35" i="5" s="1"/>
  <c r="J43" i="3"/>
  <c r="J59" i="3"/>
  <c r="J28" i="3"/>
  <c r="I60" i="3"/>
  <c r="I62" i="3" s="1"/>
  <c r="H62" i="3"/>
  <c r="H48" i="3"/>
  <c r="J44" i="3" l="1"/>
  <c r="F31" i="5"/>
  <c r="F25" i="5" s="1"/>
  <c r="K30" i="3"/>
  <c r="K28" i="3"/>
  <c r="K29" i="3"/>
  <c r="K43" i="3"/>
  <c r="H32" i="4"/>
  <c r="J29" i="4"/>
  <c r="J31" i="4" s="1"/>
  <c r="G35" i="5" s="1"/>
  <c r="K59" i="3"/>
  <c r="I48" i="3"/>
  <c r="J60" i="3"/>
  <c r="K44" i="3" l="1"/>
  <c r="L27" i="4" s="1"/>
  <c r="H37" i="4"/>
  <c r="F23" i="5"/>
  <c r="H29" i="5"/>
  <c r="H27" i="5" s="1"/>
  <c r="K61" i="3"/>
  <c r="O61" i="3" s="1"/>
  <c r="F64" i="5"/>
  <c r="K8" i="11"/>
  <c r="L27" i="3"/>
  <c r="L59" i="3" s="1"/>
  <c r="K45" i="3"/>
  <c r="O45" i="3" s="1"/>
  <c r="O30" i="3"/>
  <c r="L51" i="4"/>
  <c r="F63" i="5"/>
  <c r="I32" i="4"/>
  <c r="K29" i="4"/>
  <c r="J62" i="3"/>
  <c r="G33" i="5"/>
  <c r="G31" i="5" s="1"/>
  <c r="J48" i="3"/>
  <c r="J32" i="4"/>
  <c r="L8" i="11" s="1"/>
  <c r="L29" i="4"/>
  <c r="K60" i="3"/>
  <c r="G23" i="5" l="1"/>
  <c r="L43" i="3"/>
  <c r="I10" i="3"/>
  <c r="H10" i="3"/>
  <c r="L28" i="3"/>
  <c r="L29" i="3"/>
  <c r="K48" i="3"/>
  <c r="K62" i="3"/>
  <c r="M27" i="3"/>
  <c r="M29" i="4"/>
  <c r="L31" i="4"/>
  <c r="H35" i="5" s="1"/>
  <c r="H31" i="5" s="1"/>
  <c r="H25" i="5" s="1"/>
  <c r="G29" i="5"/>
  <c r="G27" i="5" s="1"/>
  <c r="O60" i="3"/>
  <c r="O62" i="3" s="1"/>
  <c r="G64" i="5"/>
  <c r="K32" i="4"/>
  <c r="J37" i="4"/>
  <c r="G7" i="3" s="1"/>
  <c r="G63" i="5"/>
  <c r="L44" i="3" l="1"/>
  <c r="L48" i="3"/>
  <c r="L60" i="3"/>
  <c r="L62" i="3" s="1"/>
  <c r="I29" i="5"/>
  <c r="I27" i="5" s="1"/>
  <c r="M59" i="3"/>
  <c r="M43" i="3"/>
  <c r="M29" i="3"/>
  <c r="H63" i="5"/>
  <c r="H64" i="5"/>
  <c r="M28" i="3"/>
  <c r="L32" i="4"/>
  <c r="M8" i="11" s="1"/>
  <c r="G25" i="5"/>
  <c r="G29" i="4"/>
  <c r="D14" i="3"/>
  <c r="D10" i="5" s="1"/>
  <c r="D17" i="5" s="1"/>
  <c r="M44" i="3" l="1"/>
  <c r="N27" i="4"/>
  <c r="N29" i="4" s="1"/>
  <c r="N31" i="4" s="1"/>
  <c r="I35" i="5" s="1"/>
  <c r="I31" i="5" s="1"/>
  <c r="I25" i="5" s="1"/>
  <c r="H23" i="5"/>
  <c r="M60" i="3"/>
  <c r="M62" i="3" s="1"/>
  <c r="I64" i="5"/>
  <c r="I63" i="5"/>
  <c r="M32" i="4"/>
  <c r="L37" i="4"/>
  <c r="I7" i="3" s="1"/>
  <c r="E16" i="3"/>
  <c r="E15" i="3"/>
  <c r="D19" i="3"/>
  <c r="E35" i="5"/>
  <c r="F7" i="3"/>
  <c r="J8" i="11"/>
  <c r="G21" i="5" l="1"/>
  <c r="I21" i="5"/>
  <c r="E21" i="5"/>
  <c r="F21" i="5"/>
  <c r="H21" i="5"/>
  <c r="D45" i="4"/>
  <c r="D54" i="4" s="1"/>
  <c r="E36" i="4" s="1"/>
  <c r="E54" i="4" s="1"/>
  <c r="N32" i="4"/>
  <c r="I23" i="5" s="1"/>
  <c r="O29" i="4"/>
  <c r="M48" i="3"/>
  <c r="E31" i="5"/>
  <c r="E25" i="5" s="1"/>
  <c r="E19" i="3"/>
  <c r="E63" i="5"/>
  <c r="F37" i="4"/>
  <c r="F41" i="4" s="1"/>
  <c r="G32" i="4"/>
  <c r="E64" i="5"/>
  <c r="F45" i="4" l="1"/>
  <c r="I19" i="5"/>
  <c r="N8" i="11"/>
  <c r="O32" i="4"/>
  <c r="N37" i="4"/>
  <c r="H19" i="5"/>
  <c r="E19" i="5"/>
  <c r="E48" i="5" s="1"/>
  <c r="G19" i="5"/>
  <c r="G66" i="5" s="1"/>
  <c r="D40" i="5"/>
  <c r="F19" i="5"/>
  <c r="D7" i="3"/>
  <c r="D11" i="3" s="1"/>
  <c r="F54" i="4" l="1"/>
  <c r="H37" i="5"/>
  <c r="H65" i="5" s="1"/>
  <c r="H46" i="5"/>
  <c r="H45" i="5"/>
  <c r="H48" i="5"/>
  <c r="H47" i="5"/>
  <c r="H66" i="5"/>
  <c r="I37" i="5"/>
  <c r="I65" i="5" s="1"/>
  <c r="I46" i="5"/>
  <c r="I45" i="5"/>
  <c r="I48" i="5"/>
  <c r="I66" i="5"/>
  <c r="I47" i="5"/>
  <c r="E45" i="5"/>
  <c r="G48" i="5"/>
  <c r="G46" i="5"/>
  <c r="G45" i="5"/>
  <c r="G47" i="5"/>
  <c r="G37" i="5"/>
  <c r="G49" i="5" s="1"/>
  <c r="E66" i="5"/>
  <c r="E46" i="5"/>
  <c r="E47" i="5"/>
  <c r="E37" i="5"/>
  <c r="E49" i="5" s="1"/>
  <c r="F37" i="5"/>
  <c r="F49" i="5" s="1"/>
  <c r="F46" i="5"/>
  <c r="F45" i="5"/>
  <c r="F48" i="5"/>
  <c r="F47" i="5"/>
  <c r="F66" i="5"/>
  <c r="J9" i="11" l="1"/>
  <c r="E15" i="5"/>
  <c r="E10" i="5" s="1"/>
  <c r="E17" i="5" s="1"/>
  <c r="H36" i="4"/>
  <c r="H54" i="4" s="1"/>
  <c r="H49" i="5"/>
  <c r="I49" i="5"/>
  <c r="E65" i="5"/>
  <c r="G65" i="5"/>
  <c r="F65" i="5"/>
  <c r="K9" i="11" l="1"/>
  <c r="F15" i="5"/>
  <c r="F54" i="5" s="1"/>
  <c r="F6" i="3"/>
  <c r="F11" i="3" s="1"/>
  <c r="F14" i="3" s="1"/>
  <c r="E54" i="5"/>
  <c r="J36" i="4"/>
  <c r="J54" i="4" s="1"/>
  <c r="G15" i="5" s="1"/>
  <c r="E40" i="5"/>
  <c r="E52" i="5"/>
  <c r="E44" i="5"/>
  <c r="E53" i="5"/>
  <c r="F10" i="5" l="1"/>
  <c r="L9" i="11"/>
  <c r="G54" i="5"/>
  <c r="L36" i="4"/>
  <c r="L54" i="4" s="1"/>
  <c r="G6" i="3"/>
  <c r="G11" i="3" s="1"/>
  <c r="G14" i="3" s="1"/>
  <c r="M9" i="11" l="1"/>
  <c r="H15" i="5"/>
  <c r="H10" i="5" s="1"/>
  <c r="H53" i="5" s="1"/>
  <c r="F52" i="5"/>
  <c r="F17" i="5"/>
  <c r="F40" i="5" s="1"/>
  <c r="F44" i="5"/>
  <c r="F53" i="5"/>
  <c r="G10" i="5"/>
  <c r="G53" i="5" s="1"/>
  <c r="H6" i="3"/>
  <c r="H11" i="3" s="1"/>
  <c r="H14" i="3" s="1"/>
  <c r="N36" i="4"/>
  <c r="G44" i="5" l="1"/>
  <c r="G17" i="5"/>
  <c r="G40" i="5" s="1"/>
  <c r="G52" i="5"/>
  <c r="H52" i="5"/>
  <c r="H44" i="5"/>
  <c r="H17" i="5"/>
  <c r="H40" i="5" s="1"/>
  <c r="H54" i="5"/>
  <c r="N54" i="4"/>
  <c r="I15" i="5" s="1"/>
  <c r="I6" i="3"/>
  <c r="I11" i="3" s="1"/>
  <c r="I14" i="3" s="1"/>
  <c r="N9" i="11" l="1"/>
  <c r="I10" i="5" l="1"/>
  <c r="I54" i="5"/>
  <c r="I52" i="5" l="1"/>
  <c r="I44" i="5"/>
  <c r="I17" i="5"/>
  <c r="I40" i="5" s="1"/>
  <c r="I5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Georges Claes</author>
  </authors>
  <commentList>
    <comment ref="G8" authorId="0" shapeId="0" xr:uid="{06E1C94A-573A-482A-BA1B-222BCE835F40}">
      <text>
        <r>
          <rPr>
            <b/>
            <sz val="9"/>
            <color indexed="81"/>
            <rFont val="Tahoma"/>
            <family val="2"/>
          </rPr>
          <t>Georges Claes:</t>
        </r>
        <r>
          <rPr>
            <sz val="9"/>
            <color indexed="81"/>
            <rFont val="Tahoma"/>
            <family val="2"/>
          </rPr>
          <t xml:space="preserve">
Please fill in the name of your company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Georges Claes</author>
  </authors>
  <commentList>
    <comment ref="C3" authorId="0" shapeId="0" xr:uid="{BF7B68B7-4733-475F-BF9D-7FBF68DD32BC}">
      <text>
        <r>
          <rPr>
            <b/>
            <sz val="9"/>
            <color indexed="81"/>
            <rFont val="Tahoma"/>
            <family val="2"/>
          </rPr>
          <t>Georges Claes:</t>
        </r>
        <r>
          <rPr>
            <sz val="9"/>
            <color indexed="81"/>
            <rFont val="Tahoma"/>
            <family val="2"/>
          </rPr>
          <t xml:space="preserve">
Please fill in the relevant year. The next years will automatically change </t>
        </r>
      </text>
    </comment>
  </commentList>
</comments>
</file>

<file path=xl/sharedStrings.xml><?xml version="1.0" encoding="utf-8"?>
<sst xmlns="http://schemas.openxmlformats.org/spreadsheetml/2006/main" count="624" uniqueCount="422">
  <si>
    <t>Name of Company</t>
  </si>
  <si>
    <t xml:space="preserve">F </t>
  </si>
  <si>
    <t>I</t>
  </si>
  <si>
    <t>N</t>
  </si>
  <si>
    <t>A</t>
  </si>
  <si>
    <t>C</t>
  </si>
  <si>
    <t>L</t>
  </si>
  <si>
    <t>P</t>
  </si>
  <si>
    <t>OVER FIVE YEARS</t>
  </si>
  <si>
    <t xml:space="preserve">           HAS TO BE EDITED by preference IN LOCAL CURRENCY</t>
  </si>
  <si>
    <t xml:space="preserve"> ===&gt;</t>
  </si>
  <si>
    <t>PLEASE NOTIFY ON EVERY PAGE IN WHICH CURRENCY YOU DID FILL OUT THE FIGURES</t>
  </si>
  <si>
    <t>READ CAREFULLY THE NOTES ON THE BOTTOM OF EACH PAGE</t>
  </si>
  <si>
    <t>In principle, just fill in the yellow cells</t>
  </si>
  <si>
    <t>The other cells have formulas which immediately give a result</t>
  </si>
  <si>
    <t>It is to recommend that you fill out the cells in your local currency and then make a short recapitulation in euros for the potential investors</t>
  </si>
  <si>
    <t>EDITED IN EUROS</t>
  </si>
  <si>
    <t>Turnover figures</t>
  </si>
  <si>
    <t>Year 1</t>
  </si>
  <si>
    <t>Year 2</t>
  </si>
  <si>
    <t>Year 3</t>
  </si>
  <si>
    <t>Year 4</t>
  </si>
  <si>
    <t>Year 5</t>
  </si>
  <si>
    <t>Financial keyfigures</t>
  </si>
  <si>
    <t>Budgeted turnover</t>
  </si>
  <si>
    <t>Gross margin</t>
  </si>
  <si>
    <t>Breakeven turnover</t>
  </si>
  <si>
    <t>EBITDA</t>
  </si>
  <si>
    <t>EBIT</t>
  </si>
  <si>
    <t>Net Profit</t>
  </si>
  <si>
    <t>% Ratio</t>
  </si>
  <si>
    <t>Cash endposition</t>
  </si>
  <si>
    <t>Staff numbers</t>
  </si>
  <si>
    <t>Begin Year 1</t>
  </si>
  <si>
    <t xml:space="preserve">   End year 1</t>
  </si>
  <si>
    <t xml:space="preserve">           Year 2</t>
  </si>
  <si>
    <t xml:space="preserve">         Year 3</t>
  </si>
  <si>
    <t xml:space="preserve">         Year 4</t>
  </si>
  <si>
    <t xml:space="preserve">         Year 5</t>
  </si>
  <si>
    <t>Number employed people</t>
  </si>
  <si>
    <t>converter value local currency versus euro :</t>
  </si>
  <si>
    <t>closing value on the date of</t>
  </si>
  <si>
    <t>COUNTRY</t>
  </si>
  <si>
    <t>Drafted in UGX</t>
  </si>
  <si>
    <t>REALISED SALES &amp; GROSS MARGIN</t>
  </si>
  <si>
    <t>FORECAST SALES in local currency</t>
  </si>
  <si>
    <t>Year -2</t>
  </si>
  <si>
    <t>Year -1</t>
  </si>
  <si>
    <t xml:space="preserve">  Current year</t>
  </si>
  <si>
    <t>*see footnote</t>
  </si>
  <si>
    <t>Name</t>
  </si>
  <si>
    <t>SEMESTER 1</t>
  </si>
  <si>
    <t>SEMESTER 2</t>
  </si>
  <si>
    <t>Quantity</t>
  </si>
  <si>
    <t>Price per unit</t>
  </si>
  <si>
    <t>Total 1</t>
  </si>
  <si>
    <t>Product  1</t>
  </si>
  <si>
    <t>Income</t>
  </si>
  <si>
    <t>Cost of used goods</t>
  </si>
  <si>
    <t>Gross Margin</t>
  </si>
  <si>
    <t>Product  2</t>
  </si>
  <si>
    <t>Total 2</t>
  </si>
  <si>
    <t>Product  3</t>
  </si>
  <si>
    <t>Total 3</t>
  </si>
  <si>
    <t>Product  4</t>
  </si>
  <si>
    <t>Total 4</t>
  </si>
  <si>
    <t>GRAND TOTAL</t>
  </si>
  <si>
    <t>TOTAL</t>
  </si>
  <si>
    <t>If needed, you 'll have to expand the list of number of products depending your own situation</t>
  </si>
  <si>
    <t>REMARKS</t>
  </si>
  <si>
    <t>*</t>
  </si>
  <si>
    <t>A product can be a trade product or an assembled or a produced product or a produced project or a service</t>
  </si>
  <si>
    <t>Define your sales unit !</t>
  </si>
  <si>
    <t>Cost of Goods used -&gt;  In order to simplify, we only take into account the material cost of the use of raw materials to transform them to a semi-finished or finished product (possibly including the non-returnable packaging cost)</t>
  </si>
  <si>
    <t>-&gt; possibly we can also state the packaging cost on the following line and mention as name (packaging cost)</t>
  </si>
  <si>
    <t>-&gt; the other generated costs like labour work and used energy, we shall calculate them in the next step in the list of expenses</t>
  </si>
  <si>
    <t>In case of a service we do not calculate a cost of sales neither a production cost, so the gross margin of a service will be equal to the income. All costs made in the company will be calculated in the list of operational expenses (see next tab)</t>
  </si>
  <si>
    <t>============&gt;</t>
  </si>
  <si>
    <t>Proposal to define your selling price in case of an assembly or production company:</t>
  </si>
  <si>
    <t>Per sales unit:</t>
  </si>
  <si>
    <t>1. make the sum of -&gt;</t>
  </si>
  <si>
    <t>. the raw materials or parts consumed</t>
  </si>
  <si>
    <t>. the number of hours of work to arrive at a final product times the hourly wages</t>
  </si>
  <si>
    <t>. if necessary, the energy costs consumed</t>
  </si>
  <si>
    <t>2. Multiply that sum by a factor of 1, 3 or higher in order to do so to arrive at your selling price</t>
  </si>
  <si>
    <t>Finally, compare your calculated selling price with current market prices if possible</t>
  </si>
  <si>
    <t>OPERATIONAL EXPENSES</t>
  </si>
  <si>
    <t>Realised in</t>
  </si>
  <si>
    <t>FORECAST =&gt;</t>
  </si>
  <si>
    <t>current year</t>
  </si>
  <si>
    <t>Marketingcost</t>
  </si>
  <si>
    <t>research</t>
  </si>
  <si>
    <t>consultancy</t>
  </si>
  <si>
    <t>advertizing</t>
  </si>
  <si>
    <t>-&gt; Total marketing  costs</t>
  </si>
  <si>
    <t>Staff costs</t>
  </si>
  <si>
    <t>number of labourworkers</t>
  </si>
  <si>
    <t>cost per person</t>
  </si>
  <si>
    <t>Labour salary cost</t>
  </si>
  <si>
    <t>number of administrationpeople</t>
  </si>
  <si>
    <t>Administration salary cost</t>
  </si>
  <si>
    <t>number of salespeople</t>
  </si>
  <si>
    <t>Salespeople salary cost</t>
  </si>
  <si>
    <t>number of managers</t>
  </si>
  <si>
    <t>Manager salary cost</t>
  </si>
  <si>
    <t xml:space="preserve"> total nr employed</t>
  </si>
  <si>
    <t>-&gt; Total staff costs</t>
  </si>
  <si>
    <t>Office costs</t>
  </si>
  <si>
    <t>rent</t>
  </si>
  <si>
    <t>indexrelated</t>
  </si>
  <si>
    <t>communicationcosts</t>
  </si>
  <si>
    <t>nr of persons related</t>
  </si>
  <si>
    <t>stationary</t>
  </si>
  <si>
    <t>utilities (energy cost)</t>
  </si>
  <si>
    <t>cleaning costs</t>
  </si>
  <si>
    <t>-&gt; Total Office costs</t>
  </si>
  <si>
    <t>Travel costs</t>
  </si>
  <si>
    <t>nr of people traveling</t>
  </si>
  <si>
    <t>average travelcost per person</t>
  </si>
  <si>
    <t>Total Travelcosts</t>
  </si>
  <si>
    <t>nr of salespeople + managers related</t>
  </si>
  <si>
    <t xml:space="preserve">Insurances </t>
  </si>
  <si>
    <t>Insurance building</t>
  </si>
  <si>
    <t>Insurance cY</t>
  </si>
  <si>
    <t>Insurance people (cost depending nr of people)</t>
  </si>
  <si>
    <t>-&gt; Total Insurance  costs</t>
  </si>
  <si>
    <t>Maintenance cost</t>
  </si>
  <si>
    <t>Maintenance machinery</t>
  </si>
  <si>
    <t>Maintenance equipment</t>
  </si>
  <si>
    <t>-&gt; total maintenance  costs</t>
  </si>
  <si>
    <t>Third Parties</t>
  </si>
  <si>
    <t>Legal SCALE UP-expenses (notary, government obligations …)</t>
  </si>
  <si>
    <t>OVO follow-upfee upfront charged *</t>
  </si>
  <si>
    <t>Other startup-expenses (if not activated)</t>
  </si>
  <si>
    <t>Transport of goods</t>
  </si>
  <si>
    <t>Advisory fees</t>
  </si>
  <si>
    <t>Accountancy</t>
  </si>
  <si>
    <t>-&gt; third party fees</t>
  </si>
  <si>
    <t xml:space="preserve">TOTAL operational COSTS </t>
  </si>
  <si>
    <t>* amount calculated 1% per year over the loanperiod</t>
  </si>
  <si>
    <t>REMARKS :</t>
  </si>
  <si>
    <t>This list is not limited but only to inspire you</t>
  </si>
  <si>
    <t>some costs are related to nr of people employed</t>
  </si>
  <si>
    <t>---&gt; communication costs</t>
  </si>
  <si>
    <r>
      <t xml:space="preserve">---&gt; travel costs </t>
    </r>
    <r>
      <rPr>
        <sz val="8"/>
        <color rgb="FF00B050"/>
        <rFont val="Calibri"/>
        <family val="2"/>
        <scheme val="minor"/>
      </rPr>
      <t>(salesmen and managers)</t>
    </r>
  </si>
  <si>
    <t>---&gt; insurance people</t>
  </si>
  <si>
    <t>Basic principles for year 2 and 3</t>
  </si>
  <si>
    <t>some costs are related to an index per year</t>
  </si>
  <si>
    <t>---&gt; rent</t>
  </si>
  <si>
    <t>---&gt; utilities</t>
  </si>
  <si>
    <t>---&gt; insurances</t>
  </si>
  <si>
    <t>---&gt; fees for third parties</t>
  </si>
  <si>
    <t>FIXED ASSETS</t>
  </si>
  <si>
    <t>Depreciation table</t>
  </si>
  <si>
    <t xml:space="preserve">Value Balance sheet end of </t>
  </si>
  <si>
    <t>Realised</t>
  </si>
  <si>
    <t>Current year</t>
  </si>
  <si>
    <t>during</t>
  </si>
  <si>
    <t>end of</t>
  </si>
  <si>
    <t>Year of Purchase</t>
  </si>
  <si>
    <t>Purchase value from assets bought in previous years</t>
  </si>
  <si>
    <t>Office Hardware</t>
  </si>
  <si>
    <t>computers</t>
  </si>
  <si>
    <t>printer</t>
  </si>
  <si>
    <t>phones</t>
  </si>
  <si>
    <t>mobile phones</t>
  </si>
  <si>
    <t>furniture</t>
  </si>
  <si>
    <t>-&gt;                    subtotal</t>
  </si>
  <si>
    <t>Production Hardware</t>
  </si>
  <si>
    <t>machinery</t>
  </si>
  <si>
    <t>equipment</t>
  </si>
  <si>
    <t>---</t>
  </si>
  <si>
    <t>Other assets</t>
  </si>
  <si>
    <t>land</t>
  </si>
  <si>
    <t>building</t>
  </si>
  <si>
    <t>electricity installation</t>
  </si>
  <si>
    <t>cars/vans</t>
  </si>
  <si>
    <t>motos/cycles</t>
  </si>
  <si>
    <t>TOTAL MATERIAL ASSETS</t>
  </si>
  <si>
    <t>IMMATERIAL ASSETS (not tangible) *</t>
  </si>
  <si>
    <t>STARTUP EXPENSES (other than legal) **</t>
  </si>
  <si>
    <t>TOTAL FIXED ASSETS</t>
  </si>
  <si>
    <t>* Immaterial assets -&gt;</t>
  </si>
  <si>
    <t>These investments are not tangible. These are costs for research, threshold (goodwill or purchase price of the clientele), franchise connection, patents, licenses, know-how, brands and other equivalent rights.</t>
  </si>
  <si>
    <t>** Startup-expenses -&gt;</t>
  </si>
  <si>
    <t xml:space="preserve">All the expenses you made before establishing the company, you can activate them if they are quite high in amount, otherwise you take them as a burden in your profit &amp; loss account </t>
  </si>
  <si>
    <t>REMARKS DEPRECIATION RULES</t>
  </si>
  <si>
    <t>Material assets</t>
  </si>
  <si>
    <t xml:space="preserve">Land                                    = </t>
  </si>
  <si>
    <t>Buildings                           =</t>
  </si>
  <si>
    <t>Furniture                           =</t>
  </si>
  <si>
    <t>Equipment                        =</t>
  </si>
  <si>
    <t>Machinery                        =</t>
  </si>
  <si>
    <t>Electricity installation   =</t>
  </si>
  <si>
    <t>Cars/motos/cycles           =</t>
  </si>
  <si>
    <t>Computers + printers      =</t>
  </si>
  <si>
    <t>Mobile phones                 =</t>
  </si>
  <si>
    <t>Immaterial assets           =</t>
  </si>
  <si>
    <t>Start-up expenses           =</t>
  </si>
  <si>
    <t>If other standards exist in your country, you can change the usual depreciation percentages here</t>
  </si>
  <si>
    <t>Profit &amp; Loss Statement</t>
  </si>
  <si>
    <t xml:space="preserve">REALISED </t>
  </si>
  <si>
    <t>YEAR - 2</t>
  </si>
  <si>
    <t>YEAR - 1</t>
  </si>
  <si>
    <t xml:space="preserve">           Yeartotal current year</t>
  </si>
  <si>
    <t>Amount</t>
  </si>
  <si>
    <t xml:space="preserve">      %</t>
  </si>
  <si>
    <t>Trade revenues</t>
  </si>
  <si>
    <t>Other revenues</t>
  </si>
  <si>
    <t>Total revenues</t>
  </si>
  <si>
    <t>Use of raw materials</t>
  </si>
  <si>
    <t>(Stockvariation *)</t>
  </si>
  <si>
    <t>Cost of Goods *</t>
  </si>
  <si>
    <t>Marketing costs</t>
  </si>
  <si>
    <t>Insurance costs</t>
  </si>
  <si>
    <t>Maintenance costs</t>
  </si>
  <si>
    <t>Third parties costs</t>
  </si>
  <si>
    <t>Total operationel costs</t>
  </si>
  <si>
    <t>Income from operations = EBITDA</t>
  </si>
  <si>
    <t>Depreciations</t>
  </si>
  <si>
    <t>Net income from operations = EBIT</t>
  </si>
  <si>
    <t>Intrest **</t>
  </si>
  <si>
    <t>Bankcharges</t>
  </si>
  <si>
    <t>Gross Profit BEFORE TAXES</t>
  </si>
  <si>
    <t>Incometax</t>
  </si>
  <si>
    <t>NET PROFIT</t>
  </si>
  <si>
    <t>CASHFLOW STATEMENT</t>
  </si>
  <si>
    <t>Cash position BEGIN of  period</t>
  </si>
  <si>
    <t>Cash Flow</t>
  </si>
  <si>
    <t>Difference in working capital versus last year</t>
  </si>
  <si>
    <t>capital expenditure</t>
  </si>
  <si>
    <t>Total financing needs per semester</t>
  </si>
  <si>
    <t>MAX financing need of the year</t>
  </si>
  <si>
    <t>The highest need financed by :</t>
  </si>
  <si>
    <t>own contribution</t>
  </si>
  <si>
    <t>external share capital</t>
  </si>
  <si>
    <t>OVO loans</t>
  </si>
  <si>
    <t>Loan from family and or friends</t>
  </si>
  <si>
    <t>Bank loans</t>
  </si>
  <si>
    <t>Repayments</t>
  </si>
  <si>
    <t>OVO loan repayment (***)</t>
  </si>
  <si>
    <t>Fam/friends loans repayment (***)</t>
  </si>
  <si>
    <t>Bank loans repayment (***)</t>
  </si>
  <si>
    <t>Cash position END of period (X)</t>
  </si>
  <si>
    <t>* COGU = cost of goods (used) is the algebraic sum of raw materials + stockvariation</t>
  </si>
  <si>
    <t xml:space="preserve">Stockvariation, when filled out, is </t>
  </si>
  <si>
    <t>--&gt; to deduct at increasing of the stock</t>
  </si>
  <si>
    <t>--&gt; to add at decreasing of the stock</t>
  </si>
  <si>
    <t>**intrest is to apply after having calculated the financial loan need in the cashflowstatement</t>
  </si>
  <si>
    <t>*** concerning the repayments, note you fill out the relative cells as negative amounts</t>
  </si>
  <si>
    <t>(X) the end cash position must be at least zero</t>
  </si>
  <si>
    <t>Corporate Income TAX applicable in your country</t>
  </si>
  <si>
    <t>BREAK-EVEN FIGURES</t>
  </si>
  <si>
    <t xml:space="preserve">       Year 1</t>
  </si>
  <si>
    <t xml:space="preserve">        Year 2</t>
  </si>
  <si>
    <t>Break-even turnover = fixed costs divided by grossmargin %</t>
  </si>
  <si>
    <t>= Fixed costs/gross margin</t>
  </si>
  <si>
    <t>CALCULATION of WORKING CAPITAL</t>
  </si>
  <si>
    <t>REALISED</t>
  </si>
  <si>
    <t>FORECAST</t>
  </si>
  <si>
    <t>YEAR -1</t>
  </si>
  <si>
    <t>YEAR 1</t>
  </si>
  <si>
    <t>YEAR 2</t>
  </si>
  <si>
    <t>YEAR 3</t>
  </si>
  <si>
    <t>YEAR 4</t>
  </si>
  <si>
    <t>YEAR 5</t>
  </si>
  <si>
    <t>Stocks</t>
  </si>
  <si>
    <t>sufficient stock for a salesvolume for a period, expressed in number of days</t>
  </si>
  <si>
    <t>take as average : the cost of sales on yearbasis divided by 360 days</t>
  </si>
  <si>
    <t>+</t>
  </si>
  <si>
    <t>Accounts receivable</t>
  </si>
  <si>
    <t>an average payment by the clients for a period of number of days           ==&gt;</t>
  </si>
  <si>
    <t>calculated on the turnover included VAT</t>
  </si>
  <si>
    <t>**</t>
  </si>
  <si>
    <t>turnover included VAT on yearbasis divided by 360 multiplied by number of days</t>
  </si>
  <si>
    <t>Accounts payable</t>
  </si>
  <si>
    <t>an average payment to the suppliers in a period of number of days         ==&gt;</t>
  </si>
  <si>
    <t>e.g.: for a recent starter we suggest only 15 days because he  has to pay quicker</t>
  </si>
  <si>
    <t>calculated on the cost of sales + operational expenses minus staffcosts included VAT on year basis divided by 360 multiplied by number of days</t>
  </si>
  <si>
    <t>-</t>
  </si>
  <si>
    <t>NEED FOR WORKING CAPITAL</t>
  </si>
  <si>
    <t> Stocks + accounts receivable - accounts payable</t>
  </si>
  <si>
    <t>* The number of days for the (average) Stock and Accounts receivable and payable are adjustable</t>
  </si>
  <si>
    <t>** The VAT (value added taxes) tariff is adjustable depending the rules in your country</t>
  </si>
  <si>
    <t>AMOUNT FOR FINANCE NEED :</t>
  </si>
  <si>
    <t>Purpose</t>
  </si>
  <si>
    <t>start cashposition</t>
  </si>
  <si>
    <t>cashflow</t>
  </si>
  <si>
    <t>working capital</t>
  </si>
  <si>
    <t>investments</t>
  </si>
  <si>
    <t>repayment loans</t>
  </si>
  <si>
    <t>Financing needs</t>
  </si>
  <si>
    <t>adjusted to the highest financial distress within the year</t>
  </si>
  <si>
    <t>To be financed by</t>
  </si>
  <si>
    <t>Loan from abroad    *             :</t>
  </si>
  <si>
    <t>Loan from family and friends :</t>
  </si>
  <si>
    <t xml:space="preserve">Local Bankloan                         :  </t>
  </si>
  <si>
    <t>External share capital           :</t>
  </si>
  <si>
    <t>Contribution shareholders :</t>
  </si>
  <si>
    <t xml:space="preserve">EXAMPLE of repayment schedule </t>
  </si>
  <si>
    <t>begin period</t>
  </si>
  <si>
    <t>after 6 months</t>
  </si>
  <si>
    <t>after 12 month</t>
  </si>
  <si>
    <t>after 18 months</t>
  </si>
  <si>
    <t>after 24 months</t>
  </si>
  <si>
    <t>after 30 months</t>
  </si>
  <si>
    <t>after 36 months</t>
  </si>
  <si>
    <t>after 42 months</t>
  </si>
  <si>
    <t>after 48 months</t>
  </si>
  <si>
    <t>after 54 months</t>
  </si>
  <si>
    <t>after 60 months</t>
  </si>
  <si>
    <t>OVO loan</t>
  </si>
  <si>
    <t>intrest *</t>
  </si>
  <si>
    <t>intrest supplement for devaluation calculated on the outstanding capital</t>
  </si>
  <si>
    <t>principal ****</t>
  </si>
  <si>
    <t>check -&gt;</t>
  </si>
  <si>
    <t>Other loans by family and friends</t>
  </si>
  <si>
    <t>intrest **</t>
  </si>
  <si>
    <t>Bankloan</t>
  </si>
  <si>
    <t>intrest ***</t>
  </si>
  <si>
    <t>Total loans</t>
  </si>
  <si>
    <t>Total intrests</t>
  </si>
  <si>
    <t>Total principal</t>
  </si>
  <si>
    <t>Total refunds in local currency</t>
  </si>
  <si>
    <t>in your country -&gt;  mention here the  exchange local currency versus euro (take the closing value of the day before)</t>
  </si>
  <si>
    <t>http://www.xe.com/currencyconverter/</t>
  </si>
  <si>
    <t>Mention here the date of conversion</t>
  </si>
  <si>
    <t>++/++/++++</t>
  </si>
  <si>
    <t>expressed in euros</t>
  </si>
  <si>
    <t>REPAYMENT SCHEDULE OVO LOAN IN EUROS</t>
  </si>
  <si>
    <t xml:space="preserve">                          YEAR 1</t>
  </si>
  <si>
    <t xml:space="preserve">                       YEAR 2</t>
  </si>
  <si>
    <t xml:space="preserve">                     YEAR 3</t>
  </si>
  <si>
    <t xml:space="preserve">                    YEAR 4</t>
  </si>
  <si>
    <t xml:space="preserve">                    YEAR 5</t>
  </si>
  <si>
    <t>Repaymentschedule in euros</t>
  </si>
  <si>
    <t>interestrate at 7%</t>
  </si>
  <si>
    <t>principal</t>
  </si>
  <si>
    <t>Total euros</t>
  </si>
  <si>
    <t>OVO loan amount rounded to</t>
  </si>
  <si>
    <t>interestrate at ---&gt;</t>
  </si>
  <si>
    <t>= the highest amount that OVO (Belgium) suggests to support is 50000 euros</t>
  </si>
  <si>
    <t>= 4 years is the maximum period of repayment expected by OVO and depending the cashflow evolution</t>
  </si>
  <si>
    <t>---&gt;</t>
  </si>
  <si>
    <t>The general OVO guidelines are : 7  % in euros to raise, if necessary, with a % for an expected devaluation of the local currency versus the euro</t>
  </si>
  <si>
    <t>Exception</t>
  </si>
  <si>
    <t>short term loans for maximum of one year , OVO advises 12% on year basis (so 1% per month)</t>
  </si>
  <si>
    <t>Expressed in local currency, you have to correct the amount with the expected devaluation (if applicable) of your local currency versus the euro</t>
  </si>
  <si>
    <t>please put in the cell B31 the intrestrate you have agreed with your family and or friends</t>
  </si>
  <si>
    <t>***</t>
  </si>
  <si>
    <t>please put in the cell B35 the intrestrate you have to pay to your banker</t>
  </si>
  <si>
    <t>****</t>
  </si>
  <si>
    <t>the formulas used on this line are an example</t>
  </si>
  <si>
    <t>please adapt your proposed rythm of repayment of your capital following the cash flow-evolution</t>
  </si>
  <si>
    <t>Balance Sheet</t>
  </si>
  <si>
    <t xml:space="preserve">          Year 3</t>
  </si>
  <si>
    <t xml:space="preserve">          Year 4</t>
  </si>
  <si>
    <t xml:space="preserve">          Year 5</t>
  </si>
  <si>
    <t>Startup expenses</t>
  </si>
  <si>
    <t>Immaterial assets</t>
  </si>
  <si>
    <t>CURRENT ASSETS</t>
  </si>
  <si>
    <t>Inventory</t>
  </si>
  <si>
    <t>Trade receivable</t>
  </si>
  <si>
    <t>Other receivables or prepayments</t>
  </si>
  <si>
    <t>Cash/Bank</t>
  </si>
  <si>
    <t>Total Assets</t>
  </si>
  <si>
    <t>----------&gt;</t>
  </si>
  <si>
    <t>EQUITY</t>
  </si>
  <si>
    <t>Own contribution</t>
  </si>
  <si>
    <t>External share capital</t>
  </si>
  <si>
    <t>Retained earnings</t>
  </si>
  <si>
    <t>LIABILITIES</t>
  </si>
  <si>
    <t>Long term</t>
  </si>
  <si>
    <t>Bankloan (minus 1 year payable)</t>
  </si>
  <si>
    <t>External loans (minus 1 year payable)</t>
  </si>
  <si>
    <t>Short term</t>
  </si>
  <si>
    <t>Bankloan &lt; 1 year</t>
  </si>
  <si>
    <t>External loans &lt; 1 year</t>
  </si>
  <si>
    <t>Other payables</t>
  </si>
  <si>
    <t>Total equity &amp; liabilities ------&gt;</t>
  </si>
  <si>
    <t>Total assets must be equal to equity &amp; liabilities !</t>
  </si>
  <si>
    <t>SOLVENCY RATIOS</t>
  </si>
  <si>
    <t>Comments</t>
  </si>
  <si>
    <t>Net working capital</t>
  </si>
  <si>
    <t>= current assets - liabilities short term</t>
  </si>
  <si>
    <t>norm = positive result</t>
  </si>
  <si>
    <t>= permanent equity - fixed assets</t>
  </si>
  <si>
    <t>General fundingratio</t>
  </si>
  <si>
    <t>= permanent equity/fixed assets</t>
  </si>
  <si>
    <t>norm = &gt; 1</t>
  </si>
  <si>
    <t>General debtratio</t>
  </si>
  <si>
    <t>= Liabilities/Equity</t>
  </si>
  <si>
    <t xml:space="preserve">preferably  at the most = 2/1 </t>
  </si>
  <si>
    <t>Longterm debtratio</t>
  </si>
  <si>
    <t>= Liabilities long term/ equity</t>
  </si>
  <si>
    <t>preferably  = 1/1</t>
  </si>
  <si>
    <t>Degree of independancy</t>
  </si>
  <si>
    <t>= equity / total sources</t>
  </si>
  <si>
    <t>preferably  at least = 1/3 or 33%</t>
  </si>
  <si>
    <t>LIQUIDITY RATIOS</t>
  </si>
  <si>
    <t>Current ratio</t>
  </si>
  <si>
    <t>= current assets / liabilities on short term</t>
  </si>
  <si>
    <t>Quick ratio</t>
  </si>
  <si>
    <t>= (current assets - inventories) / liabilities on short term</t>
  </si>
  <si>
    <t>preferably = 1</t>
  </si>
  <si>
    <t>Cashratio</t>
  </si>
  <si>
    <t>= liquidities / liabilities on short term</t>
  </si>
  <si>
    <t>Break-even volume</t>
  </si>
  <si>
    <t>= Fixed costs/grossprofit per unit</t>
  </si>
  <si>
    <t xml:space="preserve">                   n.a.</t>
  </si>
  <si>
    <t>Break-even turnover</t>
  </si>
  <si>
    <t>--&gt; related to the forecasted turnover</t>
  </si>
  <si>
    <t>norm = preferably maximum 80% or less</t>
  </si>
  <si>
    <t>RETURN FIGURES</t>
  </si>
  <si>
    <t>return = net profit</t>
  </si>
  <si>
    <t>Return on Turnover</t>
  </si>
  <si>
    <t>Return on investments</t>
  </si>
  <si>
    <t>Return on total sources</t>
  </si>
  <si>
    <t>Return on equity</t>
  </si>
  <si>
    <t>CURRENT YEAR 1</t>
  </si>
  <si>
    <t>up till the end of</t>
  </si>
  <si>
    <t xml:space="preserve">24/02/2024 : Update of OVO's Financial Plan Template form ,  designed on January 26, 2021 by Georges Claes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</si>
</sst>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name val="Calibri"/>
      <family val="2"/>
      <scheme val="minor"/>
    </font>
    <font>
      <sz val="8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B05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i/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quotePrefix="1" applyFont="1"/>
    <xf numFmtId="0" fontId="3" fillId="0" borderId="1" xfId="0" applyFont="1" applyBorder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1" xfId="0" applyNumberFormat="1" applyBorder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1" fillId="0" borderId="0" xfId="0" quotePrefix="1" applyFont="1"/>
    <xf numFmtId="0" fontId="0" fillId="0" borderId="9" xfId="0" applyBorder="1"/>
    <xf numFmtId="0" fontId="5" fillId="0" borderId="10" xfId="0" applyFont="1" applyBorder="1"/>
    <xf numFmtId="0" fontId="6" fillId="0" borderId="0" xfId="0" applyFont="1"/>
    <xf numFmtId="0" fontId="0" fillId="0" borderId="11" xfId="0" applyBorder="1"/>
    <xf numFmtId="0" fontId="0" fillId="0" borderId="8" xfId="0" applyBorder="1"/>
    <xf numFmtId="0" fontId="0" fillId="0" borderId="12" xfId="0" applyBorder="1"/>
    <xf numFmtId="0" fontId="1" fillId="0" borderId="9" xfId="0" applyFont="1" applyBorder="1"/>
    <xf numFmtId="0" fontId="1" fillId="0" borderId="5" xfId="0" applyFont="1" applyBorder="1"/>
    <xf numFmtId="2" fontId="0" fillId="0" borderId="3" xfId="0" applyNumberFormat="1" applyBorder="1"/>
    <xf numFmtId="0" fontId="5" fillId="0" borderId="0" xfId="0" applyFont="1"/>
    <xf numFmtId="0" fontId="1" fillId="0" borderId="3" xfId="0" applyFont="1" applyBorder="1"/>
    <xf numFmtId="0" fontId="7" fillId="0" borderId="0" xfId="0" quotePrefix="1" applyFont="1"/>
    <xf numFmtId="0" fontId="7" fillId="0" borderId="0" xfId="0" applyFont="1"/>
    <xf numFmtId="9" fontId="0" fillId="0" borderId="0" xfId="0" applyNumberFormat="1"/>
    <xf numFmtId="0" fontId="8" fillId="0" borderId="0" xfId="0" applyFont="1"/>
    <xf numFmtId="0" fontId="9" fillId="0" borderId="0" xfId="0" quotePrefix="1" applyFont="1"/>
    <xf numFmtId="0" fontId="9" fillId="0" borderId="0" xfId="0" applyFont="1"/>
    <xf numFmtId="0" fontId="1" fillId="0" borderId="5" xfId="0" quotePrefix="1" applyFont="1" applyBorder="1"/>
    <xf numFmtId="0" fontId="10" fillId="0" borderId="0" xfId="0" applyFont="1"/>
    <xf numFmtId="0" fontId="0" fillId="0" borderId="15" xfId="0" applyBorder="1"/>
    <xf numFmtId="0" fontId="7" fillId="0" borderId="5" xfId="0" applyFont="1" applyBorder="1"/>
    <xf numFmtId="0" fontId="1" fillId="0" borderId="4" xfId="0" quotePrefix="1" applyFont="1" applyBorder="1"/>
    <xf numFmtId="0" fontId="7" fillId="0" borderId="8" xfId="0" applyFont="1" applyBorder="1"/>
    <xf numFmtId="0" fontId="1" fillId="0" borderId="7" xfId="0" applyFont="1" applyBorder="1"/>
    <xf numFmtId="164" fontId="0" fillId="0" borderId="0" xfId="0" applyNumberFormat="1"/>
    <xf numFmtId="0" fontId="7" fillId="0" borderId="2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11" xfId="0" applyFont="1" applyBorder="1"/>
    <xf numFmtId="0" fontId="7" fillId="0" borderId="3" xfId="0" applyFont="1" applyBorder="1"/>
    <xf numFmtId="2" fontId="7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7" fillId="0" borderId="2" xfId="0" quotePrefix="1" applyFont="1" applyBorder="1"/>
    <xf numFmtId="0" fontId="4" fillId="0" borderId="0" xfId="0" applyFont="1"/>
    <xf numFmtId="2" fontId="6" fillId="0" borderId="1" xfId="0" applyNumberFormat="1" applyFont="1" applyBorder="1"/>
    <xf numFmtId="2" fontId="0" fillId="0" borderId="4" xfId="0" applyNumberFormat="1" applyBorder="1"/>
    <xf numFmtId="0" fontId="1" fillId="0" borderId="2" xfId="0" applyFont="1" applyBorder="1"/>
    <xf numFmtId="2" fontId="11" fillId="0" borderId="5" xfId="0" applyNumberFormat="1" applyFont="1" applyBorder="1"/>
    <xf numFmtId="2" fontId="6" fillId="0" borderId="5" xfId="0" applyNumberFormat="1" applyFont="1" applyBorder="1"/>
    <xf numFmtId="0" fontId="11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left" indent="2"/>
    </xf>
    <xf numFmtId="0" fontId="3" fillId="0" borderId="6" xfId="0" applyFont="1" applyBorder="1"/>
    <xf numFmtId="0" fontId="14" fillId="0" borderId="5" xfId="0" applyFont="1" applyBorder="1" applyAlignment="1">
      <alignment horizontal="left" indent="2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/>
    <xf numFmtId="0" fontId="14" fillId="0" borderId="1" xfId="0" applyFont="1" applyBorder="1" applyAlignment="1">
      <alignment horizontal="left" indent="2"/>
    </xf>
    <xf numFmtId="2" fontId="7" fillId="0" borderId="1" xfId="0" quotePrefix="1" applyNumberFormat="1" applyFont="1" applyBorder="1"/>
    <xf numFmtId="0" fontId="7" fillId="0" borderId="1" xfId="0" quotePrefix="1" applyFon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1" xfId="0" applyNumberFormat="1" applyBorder="1"/>
    <xf numFmtId="1" fontId="0" fillId="0" borderId="3" xfId="0" applyNumberFormat="1" applyBorder="1"/>
    <xf numFmtId="1" fontId="5" fillId="0" borderId="1" xfId="0" applyNumberFormat="1" applyFont="1" applyBorder="1"/>
    <xf numFmtId="0" fontId="0" fillId="0" borderId="0" xfId="0" applyAlignment="1">
      <alignment horizontal="left" indent="2"/>
    </xf>
    <xf numFmtId="164" fontId="3" fillId="0" borderId="0" xfId="0" applyNumberFormat="1" applyFont="1"/>
    <xf numFmtId="164" fontId="8" fillId="0" borderId="0" xfId="0" applyNumberFormat="1" applyFont="1"/>
    <xf numFmtId="1" fontId="0" fillId="0" borderId="0" xfId="0" applyNumberFormat="1"/>
    <xf numFmtId="0" fontId="3" fillId="0" borderId="1" xfId="0" applyFont="1" applyBorder="1" applyAlignment="1">
      <alignment horizontal="center"/>
    </xf>
    <xf numFmtId="2" fontId="7" fillId="0" borderId="0" xfId="0" applyNumberFormat="1" applyFont="1"/>
    <xf numFmtId="0" fontId="0" fillId="2" borderId="0" xfId="0" applyFill="1"/>
    <xf numFmtId="0" fontId="0" fillId="3" borderId="0" xfId="0" applyFill="1"/>
    <xf numFmtId="1" fontId="0" fillId="3" borderId="0" xfId="0" applyNumberFormat="1" applyFill="1"/>
    <xf numFmtId="164" fontId="5" fillId="0" borderId="0" xfId="0" applyNumberFormat="1" applyFont="1"/>
    <xf numFmtId="164" fontId="15" fillId="0" borderId="0" xfId="0" applyNumberFormat="1" applyFont="1"/>
    <xf numFmtId="2" fontId="0" fillId="0" borderId="0" xfId="0" applyNumberFormat="1"/>
    <xf numFmtId="1" fontId="5" fillId="0" borderId="0" xfId="0" applyNumberFormat="1" applyFont="1"/>
    <xf numFmtId="164" fontId="17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8" fillId="0" borderId="0" xfId="0" applyFont="1"/>
    <xf numFmtId="0" fontId="18" fillId="0" borderId="8" xfId="0" applyFont="1" applyBorder="1"/>
    <xf numFmtId="164" fontId="19" fillId="0" borderId="0" xfId="0" applyNumberFormat="1" applyFont="1"/>
    <xf numFmtId="2" fontId="1" fillId="0" borderId="0" xfId="0" applyNumberFormat="1" applyFont="1"/>
    <xf numFmtId="1" fontId="1" fillId="0" borderId="7" xfId="0" applyNumberFormat="1" applyFont="1" applyBorder="1"/>
    <xf numFmtId="1" fontId="1" fillId="0" borderId="1" xfId="0" applyNumberFormat="1" applyFont="1" applyBorder="1"/>
    <xf numFmtId="1" fontId="5" fillId="0" borderId="10" xfId="0" applyNumberFormat="1" applyFont="1" applyBorder="1"/>
    <xf numFmtId="0" fontId="0" fillId="0" borderId="0" xfId="0" quotePrefix="1"/>
    <xf numFmtId="0" fontId="18" fillId="0" borderId="13" xfId="0" applyFont="1" applyBorder="1"/>
    <xf numFmtId="0" fontId="18" fillId="0" borderId="11" xfId="0" applyFont="1" applyBorder="1"/>
    <xf numFmtId="0" fontId="18" fillId="0" borderId="15" xfId="0" applyFont="1" applyBorder="1"/>
    <xf numFmtId="0" fontId="18" fillId="0" borderId="11" xfId="0" quotePrefix="1" applyFont="1" applyBorder="1"/>
    <xf numFmtId="0" fontId="18" fillId="0" borderId="15" xfId="0" quotePrefix="1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9" fontId="18" fillId="0" borderId="20" xfId="0" applyNumberFormat="1" applyFont="1" applyBorder="1"/>
    <xf numFmtId="0" fontId="18" fillId="0" borderId="21" xfId="0" applyFont="1" applyBorder="1"/>
    <xf numFmtId="9" fontId="18" fillId="0" borderId="22" xfId="0" applyNumberFormat="1" applyFont="1" applyBorder="1"/>
    <xf numFmtId="0" fontId="21" fillId="0" borderId="0" xfId="0" applyFont="1"/>
    <xf numFmtId="0" fontId="18" fillId="0" borderId="23" xfId="0" applyFont="1" applyBorder="1"/>
    <xf numFmtId="0" fontId="0" fillId="0" borderId="24" xfId="0" applyBorder="1"/>
    <xf numFmtId="0" fontId="0" fillId="0" borderId="22" xfId="0" applyBorder="1"/>
    <xf numFmtId="0" fontId="24" fillId="0" borderId="0" xfId="0" applyFont="1"/>
    <xf numFmtId="0" fontId="18" fillId="0" borderId="26" xfId="0" applyFont="1" applyBorder="1"/>
    <xf numFmtId="0" fontId="18" fillId="0" borderId="26" xfId="0" quotePrefix="1" applyFont="1" applyBorder="1"/>
    <xf numFmtId="0" fontId="18" fillId="0" borderId="27" xfId="0" applyFont="1" applyBorder="1" applyAlignment="1">
      <alignment wrapText="1"/>
    </xf>
    <xf numFmtId="9" fontId="0" fillId="0" borderId="0" xfId="0" applyNumberFormat="1" applyAlignment="1">
      <alignment horizontal="left" indent="2"/>
    </xf>
    <xf numFmtId="14" fontId="0" fillId="0" borderId="0" xfId="0" applyNumberFormat="1" applyAlignment="1">
      <alignment vertical="center" wrapText="1"/>
    </xf>
    <xf numFmtId="0" fontId="18" fillId="0" borderId="24" xfId="0" applyFont="1" applyBorder="1"/>
    <xf numFmtId="0" fontId="0" fillId="3" borderId="0" xfId="0" applyFill="1" applyAlignment="1">
      <alignment wrapText="1"/>
    </xf>
    <xf numFmtId="1" fontId="18" fillId="0" borderId="0" xfId="0" applyNumberFormat="1" applyFont="1"/>
    <xf numFmtId="0" fontId="23" fillId="0" borderId="0" xfId="0" applyFont="1"/>
    <xf numFmtId="0" fontId="25" fillId="0" borderId="0" xfId="0" applyFont="1"/>
    <xf numFmtId="0" fontId="26" fillId="0" borderId="12" xfId="0" applyFont="1" applyBorder="1"/>
    <xf numFmtId="0" fontId="7" fillId="0" borderId="0" xfId="0" applyFont="1" applyAlignment="1">
      <alignment vertical="center" wrapText="1"/>
    </xf>
    <xf numFmtId="0" fontId="18" fillId="0" borderId="26" xfId="0" applyFont="1" applyBorder="1" applyAlignment="1">
      <alignment wrapText="1"/>
    </xf>
    <xf numFmtId="1" fontId="3" fillId="0" borderId="0" xfId="0" applyNumberFormat="1" applyFont="1"/>
    <xf numFmtId="0" fontId="0" fillId="4" borderId="0" xfId="0" applyFill="1"/>
    <xf numFmtId="0" fontId="18" fillId="3" borderId="28" xfId="0" applyFont="1" applyFill="1" applyBorder="1"/>
    <xf numFmtId="0" fontId="18" fillId="0" borderId="30" xfId="0" applyFont="1" applyBorder="1"/>
    <xf numFmtId="0" fontId="0" fillId="0" borderId="30" xfId="0" applyBorder="1"/>
    <xf numFmtId="0" fontId="0" fillId="0" borderId="29" xfId="0" applyBorder="1"/>
    <xf numFmtId="0" fontId="0" fillId="0" borderId="21" xfId="0" applyBorder="1"/>
    <xf numFmtId="0" fontId="18" fillId="0" borderId="0" xfId="0" applyFont="1" applyAlignment="1">
      <alignment wrapText="1"/>
    </xf>
    <xf numFmtId="0" fontId="7" fillId="2" borderId="3" xfId="0" applyFont="1" applyFill="1" applyBorder="1"/>
    <xf numFmtId="0" fontId="14" fillId="2" borderId="3" xfId="0" applyFont="1" applyFill="1" applyBorder="1"/>
    <xf numFmtId="1" fontId="0" fillId="2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0" borderId="13" xfId="0" applyBorder="1"/>
    <xf numFmtId="0" fontId="0" fillId="2" borderId="1" xfId="0" applyFill="1" applyBorder="1"/>
    <xf numFmtId="0" fontId="19" fillId="0" borderId="0" xfId="0" applyFont="1"/>
    <xf numFmtId="2" fontId="3" fillId="0" borderId="0" xfId="0" applyNumberFormat="1" applyFont="1"/>
    <xf numFmtId="2" fontId="2" fillId="0" borderId="0" xfId="0" applyNumberFormat="1" applyFont="1"/>
    <xf numFmtId="0" fontId="3" fillId="2" borderId="0" xfId="0" applyFont="1" applyFill="1"/>
    <xf numFmtId="0" fontId="14" fillId="2" borderId="0" xfId="0" applyFont="1" applyFill="1"/>
    <xf numFmtId="1" fontId="3" fillId="3" borderId="0" xfId="0" applyNumberFormat="1" applyFont="1" applyFill="1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9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9" fontId="0" fillId="2" borderId="0" xfId="0" applyNumberFormat="1" applyFill="1" applyAlignment="1">
      <alignment vertical="center" wrapText="1"/>
    </xf>
    <xf numFmtId="0" fontId="6" fillId="2" borderId="0" xfId="0" applyFont="1" applyFill="1"/>
    <xf numFmtId="0" fontId="19" fillId="0" borderId="0" xfId="0" quotePrefix="1" applyFont="1"/>
    <xf numFmtId="0" fontId="0" fillId="2" borderId="0" xfId="0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16" fillId="0" borderId="0" xfId="0" applyFont="1"/>
    <xf numFmtId="1" fontId="0" fillId="2" borderId="0" xfId="0" applyNumberFormat="1" applyFill="1"/>
    <xf numFmtId="9" fontId="18" fillId="0" borderId="14" xfId="0" applyNumberFormat="1" applyFont="1" applyBorder="1"/>
    <xf numFmtId="0" fontId="31" fillId="0" borderId="11" xfId="0" applyFont="1" applyBorder="1"/>
    <xf numFmtId="0" fontId="23" fillId="0" borderId="26" xfId="0" applyFont="1" applyBorder="1"/>
    <xf numFmtId="0" fontId="23" fillId="0" borderId="25" xfId="0" applyFont="1" applyBorder="1" applyAlignment="1">
      <alignment wrapText="1"/>
    </xf>
    <xf numFmtId="164" fontId="23" fillId="0" borderId="0" xfId="0" applyNumberFormat="1" applyFont="1"/>
    <xf numFmtId="9" fontId="31" fillId="0" borderId="15" xfId="0" applyNumberFormat="1" applyFont="1" applyBorder="1"/>
    <xf numFmtId="0" fontId="32" fillId="0" borderId="0" xfId="0" applyFont="1" applyAlignment="1">
      <alignment wrapText="1"/>
    </xf>
    <xf numFmtId="9" fontId="25" fillId="2" borderId="0" xfId="0" applyNumberFormat="1" applyFont="1" applyFill="1"/>
    <xf numFmtId="0" fontId="18" fillId="0" borderId="31" xfId="0" applyFont="1" applyBorder="1"/>
    <xf numFmtId="0" fontId="18" fillId="0" borderId="32" xfId="0" applyFont="1" applyBorder="1"/>
    <xf numFmtId="0" fontId="18" fillId="0" borderId="33" xfId="0" applyFont="1" applyBorder="1"/>
    <xf numFmtId="0" fontId="28" fillId="0" borderId="0" xfId="0" applyFont="1"/>
    <xf numFmtId="0" fontId="19" fillId="0" borderId="10" xfId="0" applyFont="1" applyBorder="1"/>
    <xf numFmtId="0" fontId="18" fillId="0" borderId="28" xfId="0" applyFont="1" applyBorder="1"/>
    <xf numFmtId="9" fontId="18" fillId="0" borderId="29" xfId="0" applyNumberFormat="1" applyFont="1" applyBorder="1"/>
    <xf numFmtId="12" fontId="18" fillId="0" borderId="29" xfId="0" applyNumberFormat="1" applyFont="1" applyBorder="1"/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8" fillId="3" borderId="17" xfId="0" applyFont="1" applyFill="1" applyBorder="1"/>
    <xf numFmtId="0" fontId="31" fillId="0" borderId="23" xfId="0" quotePrefix="1" applyFont="1" applyBorder="1"/>
    <xf numFmtId="0" fontId="0" fillId="0" borderId="23" xfId="0" applyBorder="1"/>
    <xf numFmtId="0" fontId="0" fillId="0" borderId="18" xfId="0" applyBorder="1"/>
    <xf numFmtId="0" fontId="18" fillId="3" borderId="19" xfId="0" applyFont="1" applyFill="1" applyBorder="1"/>
    <xf numFmtId="0" fontId="18" fillId="0" borderId="0" xfId="0" quotePrefix="1" applyFont="1"/>
    <xf numFmtId="0" fontId="0" fillId="0" borderId="20" xfId="0" applyBorder="1"/>
    <xf numFmtId="0" fontId="18" fillId="3" borderId="19" xfId="0" quotePrefix="1" applyFont="1" applyFill="1" applyBorder="1"/>
    <xf numFmtId="0" fontId="31" fillId="0" borderId="0" xfId="0" quotePrefix="1" applyFont="1"/>
    <xf numFmtId="0" fontId="0" fillId="0" borderId="19" xfId="0" applyBorder="1"/>
    <xf numFmtId="0" fontId="22" fillId="0" borderId="0" xfId="0" applyFont="1"/>
    <xf numFmtId="0" fontId="3" fillId="0" borderId="0" xfId="0" quotePrefix="1" applyFont="1" applyAlignment="1">
      <alignment vertical="center" wrapText="1"/>
    </xf>
    <xf numFmtId="3" fontId="3" fillId="3" borderId="0" xfId="0" applyNumberFormat="1" applyFont="1" applyFill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23" fillId="0" borderId="0" xfId="0" quotePrefix="1" applyFont="1"/>
    <xf numFmtId="0" fontId="23" fillId="0" borderId="17" xfId="0" applyFont="1" applyBorder="1"/>
    <xf numFmtId="0" fontId="23" fillId="0" borderId="23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24" xfId="0" applyFont="1" applyBorder="1"/>
    <xf numFmtId="0" fontId="23" fillId="0" borderId="22" xfId="0" applyFont="1" applyBorder="1"/>
    <xf numFmtId="0" fontId="31" fillId="0" borderId="19" xfId="0" applyFont="1" applyBorder="1"/>
    <xf numFmtId="0" fontId="31" fillId="0" borderId="0" xfId="0" applyFont="1" applyAlignment="1">
      <alignment horizontal="left" wrapText="1"/>
    </xf>
    <xf numFmtId="0" fontId="33" fillId="0" borderId="0" xfId="0" applyFont="1"/>
    <xf numFmtId="0" fontId="25" fillId="0" borderId="0" xfId="0" applyFont="1" applyAlignment="1">
      <alignment vertical="center" wrapTex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6"/>
    </xf>
    <xf numFmtId="0" fontId="34" fillId="0" borderId="0" xfId="0" applyFont="1"/>
    <xf numFmtId="0" fontId="27" fillId="0" borderId="0" xfId="0" applyFont="1"/>
    <xf numFmtId="0" fontId="6" fillId="0" borderId="0" xfId="0" applyFont="1" applyAlignment="1">
      <alignment vertical="center" wrapText="1"/>
    </xf>
    <xf numFmtId="0" fontId="22" fillId="0" borderId="30" xfId="0" applyFont="1" applyBorder="1"/>
    <xf numFmtId="0" fontId="22" fillId="0" borderId="32" xfId="0" applyFont="1" applyBorder="1"/>
    <xf numFmtId="0" fontId="35" fillId="0" borderId="0" xfId="0" applyFont="1"/>
    <xf numFmtId="0" fontId="36" fillId="0" borderId="0" xfId="0" applyFont="1" applyAlignment="1">
      <alignment horizontal="left" indent="4"/>
    </xf>
    <xf numFmtId="0" fontId="37" fillId="0" borderId="0" xfId="0" applyFont="1"/>
    <xf numFmtId="165" fontId="0" fillId="0" borderId="0" xfId="0" applyNumberFormat="1"/>
    <xf numFmtId="0" fontId="38" fillId="0" borderId="0" xfId="0" applyFont="1"/>
    <xf numFmtId="0" fontId="36" fillId="0" borderId="0" xfId="0" applyFont="1"/>
    <xf numFmtId="0" fontId="6" fillId="0" borderId="5" xfId="0" applyFont="1" applyBorder="1"/>
    <xf numFmtId="1" fontId="0" fillId="3" borderId="1" xfId="0" applyNumberFormat="1" applyFill="1" applyBorder="1"/>
    <xf numFmtId="0" fontId="4" fillId="0" borderId="0" xfId="0" applyFont="1" applyAlignment="1">
      <alignment wrapText="1"/>
    </xf>
    <xf numFmtId="0" fontId="6" fillId="0" borderId="1" xfId="0" applyFont="1" applyBorder="1"/>
    <xf numFmtId="1" fontId="1" fillId="0" borderId="0" xfId="0" applyNumberFormat="1" applyFont="1"/>
    <xf numFmtId="1" fontId="0" fillId="0" borderId="0" xfId="0" applyNumberForma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" fontId="3" fillId="3" borderId="0" xfId="0" applyNumberFormat="1" applyFont="1" applyFill="1" applyAlignment="1">
      <alignment vertical="center" wrapText="1"/>
    </xf>
    <xf numFmtId="1" fontId="0" fillId="0" borderId="16" xfId="0" applyNumberFormat="1" applyBorder="1" applyAlignment="1">
      <alignment vertical="center" wrapText="1"/>
    </xf>
    <xf numFmtId="1" fontId="0" fillId="0" borderId="9" xfId="0" applyNumberFormat="1" applyBorder="1" applyAlignment="1">
      <alignment vertical="center" wrapText="1"/>
    </xf>
    <xf numFmtId="1" fontId="0" fillId="0" borderId="23" xfId="0" applyNumberFormat="1" applyBorder="1"/>
    <xf numFmtId="1" fontId="0" fillId="0" borderId="24" xfId="0" applyNumberFormat="1" applyBorder="1"/>
    <xf numFmtId="1" fontId="18" fillId="0" borderId="30" xfId="0" applyNumberFormat="1" applyFont="1" applyBorder="1"/>
    <xf numFmtId="1" fontId="18" fillId="0" borderId="32" xfId="0" applyNumberFormat="1" applyFont="1" applyBorder="1"/>
    <xf numFmtId="1" fontId="18" fillId="0" borderId="23" xfId="0" applyNumberFormat="1" applyFont="1" applyBorder="1"/>
    <xf numFmtId="1" fontId="0" fillId="0" borderId="1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2" fontId="3" fillId="2" borderId="0" xfId="0" applyNumberFormat="1" applyFont="1" applyFill="1" applyAlignment="1">
      <alignment vertical="center" wrapText="1"/>
    </xf>
    <xf numFmtId="14" fontId="0" fillId="0" borderId="0" xfId="0" applyNumberFormat="1"/>
    <xf numFmtId="1" fontId="7" fillId="0" borderId="0" xfId="0" quotePrefix="1" applyNumberFormat="1" applyFont="1"/>
    <xf numFmtId="1" fontId="6" fillId="2" borderId="0" xfId="0" applyNumberFormat="1" applyFont="1" applyFill="1"/>
    <xf numFmtId="1" fontId="7" fillId="0" borderId="0" xfId="0" applyNumberFormat="1" applyFont="1"/>
    <xf numFmtId="1" fontId="0" fillId="2" borderId="4" xfId="0" applyNumberFormat="1" applyFill="1" applyBorder="1"/>
    <xf numFmtId="1" fontId="28" fillId="0" borderId="0" xfId="0" applyNumberFormat="1" applyFont="1"/>
    <xf numFmtId="3" fontId="0" fillId="2" borderId="0" xfId="0" applyNumberFormat="1" applyFill="1" applyAlignment="1">
      <alignment vertical="center" wrapText="1"/>
    </xf>
    <xf numFmtId="1" fontId="0" fillId="0" borderId="6" xfId="0" applyNumberFormat="1" applyBorder="1"/>
    <xf numFmtId="1" fontId="23" fillId="0" borderId="0" xfId="0" applyNumberFormat="1" applyFont="1"/>
    <xf numFmtId="1" fontId="0" fillId="0" borderId="0" xfId="0" quotePrefix="1" applyNumberFormat="1"/>
    <xf numFmtId="0" fontId="39" fillId="0" borderId="0" xfId="0" applyFont="1"/>
    <xf numFmtId="0" fontId="40" fillId="0" borderId="0" xfId="0" applyFont="1"/>
    <xf numFmtId="0" fontId="23" fillId="0" borderId="12" xfId="0" applyFont="1" applyBorder="1"/>
    <xf numFmtId="0" fontId="23" fillId="0" borderId="16" xfId="0" applyFont="1" applyBorder="1"/>
    <xf numFmtId="0" fontId="23" fillId="0" borderId="13" xfId="0" applyFont="1" applyBorder="1"/>
    <xf numFmtId="0" fontId="31" fillId="0" borderId="8" xfId="0" applyFont="1" applyBorder="1"/>
    <xf numFmtId="0" fontId="23" fillId="0" borderId="9" xfId="0" applyFont="1" applyBorder="1"/>
    <xf numFmtId="0" fontId="23" fillId="0" borderId="14" xfId="0" applyFont="1" applyBorder="1"/>
    <xf numFmtId="0" fontId="5" fillId="0" borderId="0" xfId="0" applyFont="1" applyAlignment="1">
      <alignment wrapText="1"/>
    </xf>
    <xf numFmtId="0" fontId="5" fillId="0" borderId="11" xfId="0" applyFont="1" applyBorder="1" applyAlignment="1">
      <alignment vertical="center" wrapText="1"/>
    </xf>
    <xf numFmtId="9" fontId="1" fillId="3" borderId="1" xfId="0" applyNumberFormat="1" applyFont="1" applyFill="1" applyBorder="1" applyAlignment="1">
      <alignment vertical="center" wrapText="1"/>
    </xf>
    <xf numFmtId="1" fontId="0" fillId="0" borderId="37" xfId="0" applyNumberFormat="1" applyBorder="1" applyAlignment="1">
      <alignment vertical="center" wrapText="1"/>
    </xf>
    <xf numFmtId="3" fontId="0" fillId="0" borderId="38" xfId="0" applyNumberFormat="1" applyBorder="1" applyAlignment="1">
      <alignment vertical="center" wrapText="1"/>
    </xf>
    <xf numFmtId="3" fontId="0" fillId="0" borderId="39" xfId="0" applyNumberFormat="1" applyBorder="1" applyAlignment="1">
      <alignment vertical="center" wrapText="1"/>
    </xf>
    <xf numFmtId="3" fontId="0" fillId="0" borderId="40" xfId="0" applyNumberFormat="1" applyBorder="1" applyAlignment="1">
      <alignment vertical="center" wrapText="1"/>
    </xf>
    <xf numFmtId="10" fontId="0" fillId="0" borderId="41" xfId="0" applyNumberFormat="1" applyBorder="1" applyAlignment="1">
      <alignment vertical="center" wrapText="1"/>
    </xf>
    <xf numFmtId="1" fontId="0" fillId="0" borderId="41" xfId="0" applyNumberFormat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3" fontId="0" fillId="2" borderId="3" xfId="0" applyNumberFormat="1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1" fontId="0" fillId="0" borderId="44" xfId="0" applyNumberFormat="1" applyBorder="1" applyAlignment="1">
      <alignment vertical="center" wrapText="1"/>
    </xf>
    <xf numFmtId="3" fontId="0" fillId="0" borderId="45" xfId="0" applyNumberFormat="1" applyBorder="1" applyAlignment="1">
      <alignment vertical="center" wrapText="1"/>
    </xf>
    <xf numFmtId="3" fontId="0" fillId="0" borderId="46" xfId="0" applyNumberFormat="1" applyBorder="1" applyAlignment="1">
      <alignment vertical="center" wrapText="1"/>
    </xf>
    <xf numFmtId="3" fontId="0" fillId="0" borderId="47" xfId="0" applyNumberForma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14" fontId="0" fillId="2" borderId="0" xfId="0" quotePrefix="1" applyNumberFormat="1" applyFill="1" applyAlignment="1">
      <alignment vertical="center" wrapText="1"/>
    </xf>
    <xf numFmtId="10" fontId="25" fillId="2" borderId="0" xfId="0" applyNumberFormat="1" applyFont="1" applyFill="1"/>
    <xf numFmtId="0" fontId="0" fillId="0" borderId="0" xfId="0" applyAlignment="1">
      <alignment wrapText="1"/>
    </xf>
    <xf numFmtId="0" fontId="11" fillId="0" borderId="5" xfId="0" applyFont="1" applyBorder="1"/>
    <xf numFmtId="0" fontId="7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7" xfId="0" applyBorder="1"/>
    <xf numFmtId="0" fontId="0" fillId="2" borderId="15" xfId="0" applyFill="1" applyBorder="1"/>
    <xf numFmtId="0" fontId="0" fillId="0" borderId="2" xfId="0" applyBorder="1" applyAlignment="1">
      <alignment horizontal="center" vertical="center"/>
    </xf>
    <xf numFmtId="0" fontId="11" fillId="3" borderId="9" xfId="0" applyFont="1" applyFill="1" applyBorder="1"/>
    <xf numFmtId="0" fontId="0" fillId="3" borderId="9" xfId="0" applyFill="1" applyBorder="1"/>
    <xf numFmtId="0" fontId="5" fillId="3" borderId="9" xfId="0" applyFont="1" applyFill="1" applyBorder="1"/>
    <xf numFmtId="0" fontId="7" fillId="3" borderId="3" xfId="0" applyFont="1" applyFill="1" applyBorder="1"/>
    <xf numFmtId="0" fontId="0" fillId="0" borderId="16" xfId="0" applyBorder="1"/>
    <xf numFmtId="1" fontId="0" fillId="3" borderId="5" xfId="0" applyNumberFormat="1" applyFill="1" applyBorder="1"/>
    <xf numFmtId="1" fontId="0" fillId="3" borderId="2" xfId="0" applyNumberFormat="1" applyFill="1" applyBorder="1"/>
    <xf numFmtId="0" fontId="0" fillId="2" borderId="12" xfId="0" applyFill="1" applyBorder="1"/>
    <xf numFmtId="0" fontId="0" fillId="2" borderId="11" xfId="0" applyFill="1" applyBorder="1"/>
    <xf numFmtId="0" fontId="1" fillId="2" borderId="4" xfId="0" quotePrefix="1" applyFont="1" applyFill="1" applyBorder="1"/>
    <xf numFmtId="0" fontId="1" fillId="2" borderId="5" xfId="0" quotePrefix="1" applyFont="1" applyFill="1" applyBorder="1"/>
    <xf numFmtId="0" fontId="1" fillId="2" borderId="5" xfId="0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3" borderId="0" xfId="0" applyFont="1" applyFill="1"/>
    <xf numFmtId="9" fontId="18" fillId="0" borderId="0" xfId="0" applyNumberFormat="1" applyFont="1"/>
    <xf numFmtId="12" fontId="18" fillId="0" borderId="0" xfId="0" applyNumberFormat="1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7" xfId="0" applyFont="1" applyBorder="1"/>
    <xf numFmtId="0" fontId="19" fillId="0" borderId="36" xfId="0" applyFont="1" applyBorder="1"/>
    <xf numFmtId="0" fontId="2" fillId="3" borderId="15" xfId="0" applyFont="1" applyFill="1" applyBorder="1"/>
    <xf numFmtId="0" fontId="3" fillId="2" borderId="15" xfId="0" applyFont="1" applyFill="1" applyBorder="1"/>
    <xf numFmtId="0" fontId="2" fillId="0" borderId="15" xfId="0" applyFont="1" applyBorder="1"/>
    <xf numFmtId="0" fontId="3" fillId="0" borderId="15" xfId="0" applyFont="1" applyBorder="1"/>
    <xf numFmtId="0" fontId="2" fillId="3" borderId="3" xfId="0" applyFont="1" applyFill="1" applyBorder="1"/>
    <xf numFmtId="0" fontId="3" fillId="2" borderId="3" xfId="0" applyFont="1" applyFill="1" applyBorder="1"/>
    <xf numFmtId="0" fontId="2" fillId="0" borderId="3" xfId="0" applyFont="1" applyBorder="1"/>
    <xf numFmtId="0" fontId="3" fillId="0" borderId="3" xfId="0" applyFont="1" applyBorder="1"/>
    <xf numFmtId="0" fontId="3" fillId="3" borderId="3" xfId="0" applyFont="1" applyFill="1" applyBorder="1"/>
    <xf numFmtId="0" fontId="2" fillId="3" borderId="2" xfId="0" applyFont="1" applyFill="1" applyBorder="1"/>
    <xf numFmtId="0" fontId="3" fillId="0" borderId="46" xfId="0" applyFont="1" applyBorder="1"/>
    <xf numFmtId="1" fontId="6" fillId="0" borderId="5" xfId="0" applyNumberFormat="1" applyFont="1" applyBorder="1"/>
    <xf numFmtId="0" fontId="23" fillId="0" borderId="0" xfId="0" applyFont="1" applyAlignment="1">
      <alignment wrapText="1"/>
    </xf>
    <xf numFmtId="0" fontId="18" fillId="3" borderId="0" xfId="0" applyFont="1" applyFill="1" applyAlignment="1">
      <alignment wrapText="1"/>
    </xf>
    <xf numFmtId="0" fontId="5" fillId="2" borderId="10" xfId="0" applyFont="1" applyFill="1" applyBorder="1"/>
    <xf numFmtId="0" fontId="5" fillId="2" borderId="0" xfId="0" applyFont="1" applyFill="1"/>
    <xf numFmtId="1" fontId="19" fillId="3" borderId="0" xfId="0" applyNumberFormat="1" applyFont="1" applyFill="1"/>
    <xf numFmtId="0" fontId="5" fillId="2" borderId="0" xfId="0" applyFont="1" applyFill="1" applyAlignment="1">
      <alignment wrapText="1"/>
    </xf>
    <xf numFmtId="0" fontId="5" fillId="0" borderId="5" xfId="0" applyFont="1" applyBorder="1"/>
    <xf numFmtId="0" fontId="6" fillId="0" borderId="3" xfId="0" applyFont="1" applyBorder="1"/>
    <xf numFmtId="1" fontId="5" fillId="0" borderId="0" xfId="0" applyNumberFormat="1" applyFont="1" applyAlignment="1">
      <alignment horizontal="right"/>
    </xf>
    <xf numFmtId="1" fontId="5" fillId="3" borderId="0" xfId="0" applyNumberFormat="1" applyFont="1" applyFill="1"/>
    <xf numFmtId="1" fontId="19" fillId="0" borderId="0" xfId="0" applyNumberFormat="1" applyFont="1"/>
    <xf numFmtId="1" fontId="0" fillId="3" borderId="3" xfId="0" applyNumberFormat="1" applyFill="1" applyBorder="1"/>
    <xf numFmtId="1" fontId="5" fillId="3" borderId="1" xfId="0" applyNumberFormat="1" applyFont="1" applyFill="1" applyBorder="1"/>
    <xf numFmtId="1" fontId="3" fillId="0" borderId="1" xfId="0" applyNumberFormat="1" applyFont="1" applyBorder="1"/>
    <xf numFmtId="1" fontId="4" fillId="2" borderId="0" xfId="0" applyNumberFormat="1" applyFont="1" applyFill="1"/>
    <xf numFmtId="1" fontId="19" fillId="2" borderId="0" xfId="0" applyNumberFormat="1" applyFont="1" applyFill="1"/>
    <xf numFmtId="0" fontId="3" fillId="0" borderId="0" xfId="0" applyFont="1" applyAlignment="1">
      <alignment horizontal="center" vertical="center"/>
    </xf>
    <xf numFmtId="1" fontId="3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1" fillId="0" borderId="8" xfId="0" applyFont="1" applyBorder="1"/>
    <xf numFmtId="3" fontId="0" fillId="0" borderId="0" xfId="0" applyNumberFormat="1" applyAlignment="1">
      <alignment vertical="center" wrapText="1"/>
    </xf>
    <xf numFmtId="0" fontId="6" fillId="3" borderId="0" xfId="0" applyFont="1" applyFill="1" applyAlignment="1">
      <alignment horizontal="center"/>
    </xf>
    <xf numFmtId="0" fontId="2" fillId="0" borderId="7" xfId="0" applyFont="1" applyBorder="1" applyAlignment="1">
      <alignment horizontal="left" indent="3"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5" fillId="3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 indent="6"/>
    </xf>
    <xf numFmtId="1" fontId="1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0" applyFont="1" applyAlignment="1">
      <alignment wrapText="1"/>
    </xf>
    <xf numFmtId="1" fontId="19" fillId="0" borderId="36" xfId="0" applyNumberFormat="1" applyFont="1" applyBorder="1"/>
    <xf numFmtId="2" fontId="3" fillId="0" borderId="3" xfId="0" applyNumberFormat="1" applyFont="1" applyBorder="1"/>
    <xf numFmtId="0" fontId="0" fillId="0" borderId="50" xfId="0" applyBorder="1"/>
    <xf numFmtId="12" fontId="0" fillId="0" borderId="50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/>
    <xf numFmtId="0" fontId="0" fillId="0" borderId="0" xfId="0"/>
    <xf numFmtId="0" fontId="24" fillId="0" borderId="34" xfId="0" applyFont="1" applyBorder="1"/>
    <xf numFmtId="0" fontId="22" fillId="0" borderId="35" xfId="0" applyFont="1" applyBorder="1"/>
    <xf numFmtId="0" fontId="22" fillId="0" borderId="36" xfId="0" applyFont="1" applyBorder="1"/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0" xfId="0" applyAlignment="1">
      <alignment horizontal="center" vertical="top" wrapText="1"/>
    </xf>
    <xf numFmtId="0" fontId="11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/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0" xfId="0" applyFont="1" applyAlignment="1">
      <alignment wrapText="1"/>
    </xf>
    <xf numFmtId="0" fontId="6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/>
    <xf numFmtId="0" fontId="1" fillId="0" borderId="14" xfId="0" applyFont="1" applyBorder="1"/>
    <xf numFmtId="0" fontId="18" fillId="3" borderId="26" xfId="0" applyFont="1" applyFill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18" fillId="0" borderId="28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wrapText="1" indent="2"/>
    </xf>
    <xf numFmtId="0" fontId="0" fillId="0" borderId="9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Turnover Forecast</a:t>
            </a:r>
          </a:p>
          <a:p>
            <a:pPr>
              <a:defRPr b="1"/>
            </a:pPr>
            <a:endParaRPr lang="nl-BE" b="1"/>
          </a:p>
        </c:rich>
      </c:tx>
      <c:layout>
        <c:manualLayout>
          <c:xMode val="edge"/>
          <c:yMode val="edge"/>
          <c:x val="0.352951224846894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Financial Plan IN EUROS'!$A$5</c:f>
              <c:strCache>
                <c:ptCount val="1"/>
                <c:pt idx="0">
                  <c:v>Budgeted turnover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'Summary Financial Plan IN EUROS'!$B$3:$D$3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'Summary Financial Plan IN EUROS'!$B$5:$D$5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B-4D89-84FB-EEADAA86AD91}"/>
            </c:ext>
          </c:extLst>
        </c:ser>
        <c:ser>
          <c:idx val="1"/>
          <c:order val="1"/>
          <c:tx>
            <c:strRef>
              <c:f>'Summary Financial Plan IN EUROS'!$A$6</c:f>
              <c:strCache>
                <c:ptCount val="1"/>
                <c:pt idx="0">
                  <c:v>Breakeven turnover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'Summary Financial Plan IN EUROS'!$B$3:$D$3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'Summary Financial Plan IN EUROS'!$B$6:$D$6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B-4D89-84FB-EEADAA86A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2619056"/>
        <c:axId val="-112620688"/>
      </c:barChart>
      <c:catAx>
        <c:axId val="-11261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-112620688"/>
        <c:crosses val="autoZero"/>
        <c:auto val="1"/>
        <c:lblAlgn val="ctr"/>
        <c:lblOffset val="100"/>
        <c:noMultiLvlLbl val="0"/>
      </c:catAx>
      <c:valAx>
        <c:axId val="-11262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-11261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5.8928258967629044E-2"/>
          <c:y val="0.19486111111111112"/>
          <c:w val="0.8966272965879265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Financial Plan IN EUROS'!$A$29</c:f>
              <c:strCache>
                <c:ptCount val="1"/>
                <c:pt idx="0">
                  <c:v>Number employed people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'Summary Financial Plan IN EUROS'!$B$27:$E$27</c:f>
              <c:strCache>
                <c:ptCount val="4"/>
                <c:pt idx="0">
                  <c:v>Begin Year 1</c:v>
                </c:pt>
                <c:pt idx="1">
                  <c:v>   End year 1</c:v>
                </c:pt>
                <c:pt idx="2">
                  <c:v>           Year 2</c:v>
                </c:pt>
                <c:pt idx="3">
                  <c:v>         Year 3</c:v>
                </c:pt>
              </c:strCache>
            </c:strRef>
          </c:cat>
          <c:val>
            <c:numRef>
              <c:f>'Summary Financial Plan IN EUROS'!$B$29:$E$29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2-465D-AF49-C52B561B8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2621232"/>
        <c:axId val="-112617968"/>
      </c:barChart>
      <c:catAx>
        <c:axId val="-11262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-112617968"/>
        <c:crosses val="autoZero"/>
        <c:auto val="1"/>
        <c:lblAlgn val="ctr"/>
        <c:lblOffset val="100"/>
        <c:noMultiLvlLbl val="0"/>
      </c:catAx>
      <c:valAx>
        <c:axId val="-11261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-1126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Financial Keygraphics in €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Financial Plan IN EUROS'!$I$5</c:f>
              <c:strCache>
                <c:ptCount val="1"/>
                <c:pt idx="0">
                  <c:v>Gross margin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Financial Plan IN EUROS'!$J$3:$L$3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'Summary Financial Plan IN EUROS'!$J$5:$L$5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B-4CCF-B6BB-BB83A97DA549}"/>
            </c:ext>
          </c:extLst>
        </c:ser>
        <c:ser>
          <c:idx val="1"/>
          <c:order val="1"/>
          <c:tx>
            <c:strRef>
              <c:f>'Summary Financial Plan IN EUROS'!$I$6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'Summary Financial Plan IN EUROS'!$J$3:$L$3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'Summary Financial Plan IN EUROS'!$J$6:$L$6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B-4CCF-B6BB-BB83A97DA549}"/>
            </c:ext>
          </c:extLst>
        </c:ser>
        <c:ser>
          <c:idx val="2"/>
          <c:order val="2"/>
          <c:tx>
            <c:strRef>
              <c:f>'Summary Financial Plan IN EUROS'!$I$7</c:f>
              <c:strCache>
                <c:ptCount val="1"/>
                <c:pt idx="0">
                  <c:v>EBIT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Financial Plan IN EUROS'!$J$3:$L$3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'Summary Financial Plan IN EUROS'!$J$7:$L$7</c:f>
              <c:numCache>
                <c:formatCode>0</c:formatCode>
                <c:ptCount val="3"/>
                <c:pt idx="0">
                  <c:v>-15824.682814302192</c:v>
                </c:pt>
                <c:pt idx="1">
                  <c:v>-6136.1014994232992</c:v>
                </c:pt>
                <c:pt idx="2">
                  <c:v>-6136.1014994232992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B-4CCF-B6BB-BB83A97DA549}"/>
            </c:ext>
          </c:extLst>
        </c:ser>
        <c:ser>
          <c:idx val="3"/>
          <c:order val="3"/>
          <c:tx>
            <c:strRef>
              <c:f>'Summary Financial Plan IN EUROS'!$I$8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Financial Plan IN EUROS'!$J$3:$L$3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'Summary Financial Plan IN EUROS'!$J$8:$L$8</c:f>
              <c:numCache>
                <c:formatCode>0</c:formatCode>
                <c:ptCount val="3"/>
                <c:pt idx="0">
                  <c:v>-15824.682814302192</c:v>
                </c:pt>
                <c:pt idx="1">
                  <c:v>-6136.1014994232992</c:v>
                </c:pt>
                <c:pt idx="2">
                  <c:v>-6136.1014994232992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B-4CCF-B6BB-BB83A97DA549}"/>
            </c:ext>
          </c:extLst>
        </c:ser>
        <c:ser>
          <c:idx val="4"/>
          <c:order val="4"/>
          <c:tx>
            <c:strRef>
              <c:f>'Summary Financial Plan IN EUROS'!$I$9</c:f>
              <c:strCache>
                <c:ptCount val="1"/>
                <c:pt idx="0">
                  <c:v>Cash endposition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Financial Plan IN EUROS'!$J$3:$L$3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'Summary Financial Plan IN EUROS'!$J$9:$L$9</c:f>
              <c:numCache>
                <c:formatCode>0</c:formatCode>
                <c:ptCount val="3"/>
                <c:pt idx="0">
                  <c:v>7912.3414071510961</c:v>
                </c:pt>
                <c:pt idx="1">
                  <c:v>7912.3414071510961</c:v>
                </c:pt>
                <c:pt idx="2">
                  <c:v>7912.3414071510961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B-4CCF-B6BB-BB83A97DA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2616880"/>
        <c:axId val="-112615248"/>
      </c:barChart>
      <c:catAx>
        <c:axId val="-11261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-112615248"/>
        <c:crosses val="autoZero"/>
        <c:auto val="1"/>
        <c:lblAlgn val="ctr"/>
        <c:lblOffset val="100"/>
        <c:noMultiLvlLbl val="0"/>
      </c:catAx>
      <c:valAx>
        <c:axId val="-11261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-11261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66675</xdr:rowOff>
    </xdr:from>
    <xdr:to>
      <xdr:col>5</xdr:col>
      <xdr:colOff>552450</xdr:colOff>
      <xdr:row>2</xdr:row>
      <xdr:rowOff>146318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57175"/>
          <a:ext cx="2924175" cy="6892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9</xdr:row>
      <xdr:rowOff>171450</xdr:rowOff>
    </xdr:from>
    <xdr:to>
      <xdr:col>4</xdr:col>
      <xdr:colOff>476250</xdr:colOff>
      <xdr:row>24</xdr:row>
      <xdr:rowOff>90487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542925</xdr:colOff>
      <xdr:row>30</xdr:row>
      <xdr:rowOff>4761</xdr:rowOff>
    </xdr:from>
    <xdr:to>
      <xdr:col>4</xdr:col>
      <xdr:colOff>447675</xdr:colOff>
      <xdr:row>44</xdr:row>
      <xdr:rowOff>180974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13</xdr:row>
      <xdr:rowOff>147637</xdr:rowOff>
    </xdr:from>
    <xdr:to>
      <xdr:col>13</xdr:col>
      <xdr:colOff>0</xdr:colOff>
      <xdr:row>32</xdr:row>
      <xdr:rowOff>171450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7"/>
  <sheetViews>
    <sheetView tabSelected="1" workbookViewId="0">
      <selection activeCell="B28" sqref="B28"/>
    </sheetView>
  </sheetViews>
  <sheetFormatPr defaultRowHeight="15" x14ac:dyDescent="0.25"/>
  <sheetData>
    <row r="2" spans="2:15" ht="48" customHeight="1" x14ac:dyDescent="0.25"/>
    <row r="7" spans="2:15" ht="45.75" customHeight="1" x14ac:dyDescent="0.25">
      <c r="E7" s="18"/>
      <c r="F7" s="18"/>
      <c r="G7" s="18"/>
      <c r="H7" s="18"/>
      <c r="I7" s="18"/>
      <c r="J7" s="18"/>
      <c r="K7" s="18"/>
      <c r="L7" s="18"/>
    </row>
    <row r="8" spans="2:15" ht="24" customHeight="1" x14ac:dyDescent="0.25">
      <c r="G8" s="384" t="s">
        <v>0</v>
      </c>
      <c r="H8" s="384"/>
      <c r="I8" s="384"/>
    </row>
    <row r="9" spans="2:15" ht="31.5" customHeight="1" x14ac:dyDescent="0.35">
      <c r="B9" s="157" t="s">
        <v>1</v>
      </c>
      <c r="C9" s="157" t="s">
        <v>2</v>
      </c>
      <c r="D9" s="157" t="s">
        <v>3</v>
      </c>
      <c r="E9" s="157" t="s">
        <v>4</v>
      </c>
      <c r="F9" s="157" t="s">
        <v>3</v>
      </c>
      <c r="G9" s="157" t="s">
        <v>5</v>
      </c>
      <c r="H9" s="157" t="s">
        <v>2</v>
      </c>
      <c r="I9" s="157" t="s">
        <v>4</v>
      </c>
      <c r="J9" s="157" t="s">
        <v>6</v>
      </c>
      <c r="K9" s="157"/>
      <c r="L9" s="157" t="s">
        <v>7</v>
      </c>
      <c r="M9" s="157" t="s">
        <v>6</v>
      </c>
      <c r="N9" s="157" t="s">
        <v>4</v>
      </c>
      <c r="O9" s="157" t="s">
        <v>3</v>
      </c>
    </row>
    <row r="10" spans="2:15" ht="15.75" thickBot="1" x14ac:dyDescent="0.3"/>
    <row r="11" spans="2:15" ht="15.75" thickBot="1" x14ac:dyDescent="0.3">
      <c r="G11" s="381" t="s">
        <v>8</v>
      </c>
      <c r="H11" s="382"/>
      <c r="I11" s="383"/>
    </row>
    <row r="12" spans="2:15" ht="15" customHeight="1" x14ac:dyDescent="0.25">
      <c r="D12" s="376" t="s">
        <v>9</v>
      </c>
      <c r="E12" s="377"/>
      <c r="F12" s="377"/>
      <c r="G12" s="377"/>
      <c r="H12" s="377"/>
      <c r="I12" s="377"/>
      <c r="J12" s="377"/>
      <c r="K12" s="377"/>
      <c r="L12" s="377"/>
    </row>
    <row r="13" spans="2:15" x14ac:dyDescent="0.25">
      <c r="D13" s="377"/>
      <c r="E13" s="377"/>
      <c r="F13" s="377"/>
      <c r="G13" s="377"/>
      <c r="H13" s="377"/>
      <c r="I13" s="377"/>
      <c r="J13" s="377"/>
      <c r="K13" s="377"/>
      <c r="L13" s="377"/>
    </row>
    <row r="17" spans="2:16" ht="24" customHeight="1" x14ac:dyDescent="0.25">
      <c r="C17" t="s">
        <v>10</v>
      </c>
      <c r="D17" s="213" t="s">
        <v>11</v>
      </c>
      <c r="E17" s="213"/>
      <c r="F17" s="213"/>
      <c r="G17" s="213"/>
      <c r="H17" s="213"/>
      <c r="I17" s="213"/>
      <c r="J17" s="213"/>
      <c r="K17" s="213"/>
    </row>
    <row r="18" spans="2:16" ht="23.25" customHeight="1" x14ac:dyDescent="0.25">
      <c r="C18" t="s">
        <v>10</v>
      </c>
      <c r="D18" s="213" t="s">
        <v>12</v>
      </c>
    </row>
    <row r="19" spans="2:16" ht="15.75" x14ac:dyDescent="0.25">
      <c r="C19" s="214" t="s">
        <v>10</v>
      </c>
      <c r="D19" s="209" t="s">
        <v>13</v>
      </c>
      <c r="E19" s="209"/>
      <c r="F19" s="209"/>
      <c r="G19" s="209"/>
      <c r="H19" s="209"/>
      <c r="I19" s="209"/>
      <c r="J19" s="209"/>
      <c r="K19" s="209"/>
      <c r="L19" s="209"/>
    </row>
    <row r="20" spans="2:16" ht="15.75" x14ac:dyDescent="0.25">
      <c r="D20" s="209" t="s">
        <v>14</v>
      </c>
      <c r="E20" s="209"/>
      <c r="F20" s="209"/>
      <c r="G20" s="209"/>
      <c r="H20" s="209"/>
      <c r="I20" s="209"/>
      <c r="J20" s="209"/>
      <c r="K20" s="209"/>
      <c r="L20" s="209"/>
    </row>
    <row r="25" spans="2:16" ht="15.75" x14ac:dyDescent="0.25">
      <c r="B25" s="209" t="s">
        <v>15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2:16" ht="15.75" thickBot="1" x14ac:dyDescent="0.3"/>
    <row r="27" spans="2:16" ht="16.5" thickBot="1" x14ac:dyDescent="0.3">
      <c r="B27" s="378" t="s">
        <v>421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80"/>
    </row>
  </sheetData>
  <mergeCells count="4">
    <mergeCell ref="D12:L13"/>
    <mergeCell ref="B27:P27"/>
    <mergeCell ref="G11:I11"/>
    <mergeCell ref="G8:I8"/>
  </mergeCells>
  <pageMargins left="0.7" right="0.7" top="0.75" bottom="0.75" header="0.3" footer="0.3"/>
  <pageSetup paperSize="9" scale="95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showGridLines="0" workbookViewId="0">
      <selection activeCell="D28" sqref="D28"/>
    </sheetView>
  </sheetViews>
  <sheetFormatPr defaultRowHeight="15" x14ac:dyDescent="0.25"/>
  <cols>
    <col min="1" max="1" width="25.28515625" customWidth="1"/>
    <col min="2" max="3" width="15" customWidth="1"/>
    <col min="4" max="4" width="14.7109375" customWidth="1"/>
    <col min="5" max="7" width="14.5703125" customWidth="1"/>
    <col min="9" max="9" width="25.85546875" customWidth="1"/>
    <col min="10" max="10" width="13.85546875" customWidth="1"/>
    <col min="11" max="11" width="15.42578125" customWidth="1"/>
    <col min="12" max="12" width="16" customWidth="1"/>
    <col min="13" max="13" width="14.7109375" customWidth="1"/>
    <col min="14" max="14" width="13.42578125" customWidth="1"/>
  </cols>
  <sheetData>
    <row r="1" spans="1:14" x14ac:dyDescent="0.25">
      <c r="A1" s="1" t="s">
        <v>16</v>
      </c>
    </row>
    <row r="3" spans="1:14" ht="15.75" x14ac:dyDescent="0.25">
      <c r="A3" s="218" t="s">
        <v>17</v>
      </c>
      <c r="B3" s="219" t="s">
        <v>18</v>
      </c>
      <c r="C3" s="219" t="s">
        <v>19</v>
      </c>
      <c r="D3" s="219" t="s">
        <v>20</v>
      </c>
      <c r="E3" s="219" t="s">
        <v>21</v>
      </c>
      <c r="F3" s="219" t="s">
        <v>22</v>
      </c>
      <c r="G3" s="219"/>
      <c r="I3" s="218" t="s">
        <v>23</v>
      </c>
      <c r="J3" s="219" t="s">
        <v>18</v>
      </c>
      <c r="K3" s="219" t="s">
        <v>19</v>
      </c>
      <c r="L3" s="219" t="s">
        <v>20</v>
      </c>
      <c r="M3" s="219" t="s">
        <v>21</v>
      </c>
      <c r="N3" s="219" t="s">
        <v>22</v>
      </c>
    </row>
    <row r="4" spans="1:14" ht="15.75" x14ac:dyDescent="0.25">
      <c r="A4" s="218"/>
      <c r="B4" s="219">
        <f>'P&amp;L and Cashflowstatement'!F3</f>
        <v>2024</v>
      </c>
      <c r="C4" s="219">
        <f>'P&amp;L and Cashflowstatement'!H3</f>
        <v>2025</v>
      </c>
      <c r="D4" s="219">
        <f>'P&amp;L and Cashflowstatement'!J3</f>
        <v>2026</v>
      </c>
      <c r="E4" s="219">
        <f>'P&amp;L and Cashflowstatement'!L3</f>
        <v>2027</v>
      </c>
      <c r="F4" s="219">
        <f>'P&amp;L and Cashflowstatement'!N3</f>
        <v>2028</v>
      </c>
      <c r="G4" s="219"/>
      <c r="I4" s="218"/>
      <c r="J4" s="219">
        <f>B4</f>
        <v>2024</v>
      </c>
      <c r="K4" s="219">
        <f>C4</f>
        <v>2025</v>
      </c>
      <c r="L4" s="219">
        <f>D4</f>
        <v>2026</v>
      </c>
      <c r="M4" s="219">
        <f>E4</f>
        <v>2027</v>
      </c>
      <c r="N4" s="219">
        <f>F4</f>
        <v>2028</v>
      </c>
    </row>
    <row r="5" spans="1:14" x14ac:dyDescent="0.25">
      <c r="A5" s="220" t="s">
        <v>24</v>
      </c>
      <c r="B5" s="73">
        <f>'P&amp;L and Cashflowstatement'!F8/$C$47</f>
        <v>0</v>
      </c>
      <c r="C5" s="73">
        <f>'P&amp;L and Cashflowstatement'!H8/$C$47</f>
        <v>0</v>
      </c>
      <c r="D5" s="73">
        <f>'P&amp;L and Cashflowstatement'!J8/$C$47</f>
        <v>0</v>
      </c>
      <c r="E5" s="73">
        <f>'P&amp;L and Cashflowstatement'!L8/$C$47</f>
        <v>0</v>
      </c>
      <c r="F5" s="73">
        <f>'P&amp;L and Cashflowstatement'!N8/$C$47</f>
        <v>0</v>
      </c>
      <c r="G5" s="73"/>
      <c r="I5" t="s">
        <v>25</v>
      </c>
      <c r="J5" s="73">
        <f>'P&amp;L and Cashflowstatement'!F12/$C$47</f>
        <v>0</v>
      </c>
      <c r="K5" s="73">
        <f>'P&amp;L and Cashflowstatement'!H12/$C$47</f>
        <v>0</v>
      </c>
      <c r="L5" s="73">
        <f>'P&amp;L and Cashflowstatement'!J12/$C$47</f>
        <v>0</v>
      </c>
      <c r="M5" s="73">
        <f>'P&amp;L and Cashflowstatement'!L12/$C$47</f>
        <v>0</v>
      </c>
      <c r="N5" s="73">
        <f>'P&amp;L and Cashflowstatement'!N12/$C$47</f>
        <v>0</v>
      </c>
    </row>
    <row r="6" spans="1:14" x14ac:dyDescent="0.25">
      <c r="A6" s="220" t="s">
        <v>26</v>
      </c>
      <c r="B6" s="73" t="e">
        <f>'P&amp;L and Cashflowstatement'!F71/$C$47</f>
        <v>#DIV/0!</v>
      </c>
      <c r="C6" s="73" t="e">
        <f>'P&amp;L and Cashflowstatement'!H71/$C$47</f>
        <v>#DIV/0!</v>
      </c>
      <c r="D6" s="73" t="e">
        <f>'P&amp;L and Cashflowstatement'!J71/$C$47</f>
        <v>#DIV/0!</v>
      </c>
      <c r="E6" s="73" t="e">
        <f>'P&amp;L and Cashflowstatement'!L71/$C$47</f>
        <v>#DIV/0!</v>
      </c>
      <c r="F6" s="73" t="e">
        <f>'P&amp;L and Cashflowstatement'!N71/$C$47</f>
        <v>#DIV/0!</v>
      </c>
      <c r="G6" s="73"/>
      <c r="I6" s="222" t="s">
        <v>27</v>
      </c>
      <c r="J6" s="73">
        <f>'P&amp;L and Cashflowstatement'!F22/$C$47</f>
        <v>0</v>
      </c>
      <c r="K6" s="73">
        <f>'P&amp;L and Cashflowstatement'!H22/$C$47</f>
        <v>0</v>
      </c>
      <c r="L6" s="73">
        <f>'P&amp;L and Cashflowstatement'!J22/$C$47</f>
        <v>0</v>
      </c>
      <c r="M6" s="73">
        <f>'P&amp;L and Cashflowstatement'!L22/$C$47</f>
        <v>0</v>
      </c>
      <c r="N6" s="73">
        <f>'P&amp;L and Cashflowstatement'!N22/$C$47</f>
        <v>0</v>
      </c>
    </row>
    <row r="7" spans="1:14" x14ac:dyDescent="0.25">
      <c r="I7" s="222" t="s">
        <v>28</v>
      </c>
      <c r="J7" s="73">
        <f>'P&amp;L and Cashflowstatement'!F25/$C$47</f>
        <v>-15824.682814302192</v>
      </c>
      <c r="K7" s="73">
        <f>'P&amp;L and Cashflowstatement'!H25/$C$47</f>
        <v>-6136.1014994232992</v>
      </c>
      <c r="L7" s="73">
        <f>'P&amp;L and Cashflowstatement'!J25/$C$47</f>
        <v>-6136.1014994232992</v>
      </c>
      <c r="M7" s="73">
        <f>'P&amp;L and Cashflowstatement'!L25/$C$47</f>
        <v>-6136.1014994232992</v>
      </c>
      <c r="N7" s="73">
        <f>'P&amp;L and Cashflowstatement'!N25/$C$47</f>
        <v>-6136.1014994232992</v>
      </c>
    </row>
    <row r="8" spans="1:14" x14ac:dyDescent="0.25">
      <c r="I8" t="s">
        <v>29</v>
      </c>
      <c r="J8" s="73">
        <f>'P&amp;L and Cashflowstatement'!F32/$C$47</f>
        <v>-15824.682814302192</v>
      </c>
      <c r="K8" s="73">
        <f>'P&amp;L and Cashflowstatement'!H32/$C$47</f>
        <v>-6136.1014994232992</v>
      </c>
      <c r="L8" s="73">
        <f>'P&amp;L and Cashflowstatement'!J32/$C$47</f>
        <v>-6136.1014994232992</v>
      </c>
      <c r="M8" s="73">
        <f>'P&amp;L and Cashflowstatement'!L32/$C$47</f>
        <v>-6136.1014994232992</v>
      </c>
      <c r="N8" s="73">
        <f>'P&amp;L and Cashflowstatement'!N32/$C$47</f>
        <v>-6136.1014994232992</v>
      </c>
    </row>
    <row r="9" spans="1:14" x14ac:dyDescent="0.25">
      <c r="A9" s="220" t="s">
        <v>30</v>
      </c>
      <c r="B9" s="221" t="e">
        <f>B6/B5</f>
        <v>#DIV/0!</v>
      </c>
      <c r="C9" s="221" t="e">
        <f>C6/C5</f>
        <v>#DIV/0!</v>
      </c>
      <c r="D9" s="221" t="e">
        <f>D6/D5</f>
        <v>#DIV/0!</v>
      </c>
      <c r="E9" s="221" t="e">
        <f>E6/E5</f>
        <v>#DIV/0!</v>
      </c>
      <c r="F9" s="221" t="e">
        <f>F6/F5</f>
        <v>#DIV/0!</v>
      </c>
      <c r="G9" s="221"/>
      <c r="I9" t="s">
        <v>31</v>
      </c>
      <c r="J9" s="73">
        <f>'P&amp;L and Cashflowstatement'!F54/$C$47</f>
        <v>7912.3414071510961</v>
      </c>
      <c r="K9" s="73">
        <f>'P&amp;L and Cashflowstatement'!H54/$C$47</f>
        <v>7912.3414071510961</v>
      </c>
      <c r="L9" s="73">
        <f>'P&amp;L and Cashflowstatement'!J54/$C$47</f>
        <v>7912.3414071510961</v>
      </c>
      <c r="M9" s="73">
        <f>'P&amp;L and Cashflowstatement'!L54/$C$47</f>
        <v>7912.3414071510961</v>
      </c>
      <c r="N9" s="73">
        <f>'P&amp;L and Cashflowstatement'!N54/$C$47</f>
        <v>7912.3414071510961</v>
      </c>
    </row>
    <row r="27" spans="1:7" ht="15.75" x14ac:dyDescent="0.25">
      <c r="A27" s="218" t="s">
        <v>32</v>
      </c>
      <c r="B27" s="223" t="s">
        <v>33</v>
      </c>
      <c r="C27" s="223" t="s">
        <v>34</v>
      </c>
      <c r="D27" s="223" t="s">
        <v>35</v>
      </c>
      <c r="E27" s="223" t="s">
        <v>36</v>
      </c>
      <c r="F27" s="223" t="s">
        <v>37</v>
      </c>
      <c r="G27" s="223" t="s">
        <v>38</v>
      </c>
    </row>
    <row r="28" spans="1:7" ht="15.75" x14ac:dyDescent="0.25">
      <c r="A28" s="218"/>
      <c r="B28" s="368">
        <f>B4</f>
        <v>2024</v>
      </c>
      <c r="C28" s="368">
        <f>B4</f>
        <v>2024</v>
      </c>
      <c r="D28" s="223">
        <f>C4</f>
        <v>2025</v>
      </c>
      <c r="E28" s="223">
        <f>D4</f>
        <v>2026</v>
      </c>
      <c r="F28" s="223">
        <f>E4</f>
        <v>2027</v>
      </c>
      <c r="G28" s="223">
        <f>F4</f>
        <v>2028</v>
      </c>
    </row>
    <row r="29" spans="1:7" x14ac:dyDescent="0.25">
      <c r="A29" s="220" t="s">
        <v>39</v>
      </c>
      <c r="B29">
        <f>'Detail expenses '!D29</f>
        <v>0</v>
      </c>
      <c r="C29" t="e">
        <f>'Detail expenses '!#REF!</f>
        <v>#REF!</v>
      </c>
      <c r="D29" s="73">
        <f>'Detail expenses '!G29</f>
        <v>0</v>
      </c>
      <c r="E29" s="73">
        <f>'Detail expenses '!H29</f>
        <v>0</v>
      </c>
      <c r="F29" s="73">
        <f>'Detail expenses '!I29</f>
        <v>0</v>
      </c>
      <c r="G29" s="73">
        <f>'Detail expenses '!J29</f>
        <v>0</v>
      </c>
    </row>
    <row r="47" spans="1:3" x14ac:dyDescent="0.25">
      <c r="A47" t="s">
        <v>40</v>
      </c>
      <c r="C47">
        <f>'Financing sources'!B51</f>
        <v>4335</v>
      </c>
    </row>
    <row r="48" spans="1:3" x14ac:dyDescent="0.25">
      <c r="A48" t="s">
        <v>41</v>
      </c>
      <c r="C48" s="242" t="str">
        <f>'Financing sources'!B53</f>
        <v>++/++/++++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zoomScale="89" zoomScaleNormal="89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12" sqref="B12"/>
    </sheetView>
  </sheetViews>
  <sheetFormatPr defaultColWidth="8.28515625" defaultRowHeight="12" customHeight="1" x14ac:dyDescent="0.25"/>
  <cols>
    <col min="1" max="1" width="14.140625" bestFit="1" customWidth="1"/>
    <col min="2" max="2" width="20.7109375" customWidth="1"/>
    <col min="3" max="3" width="19.140625" customWidth="1"/>
    <col min="4" max="4" width="18.5703125" customWidth="1"/>
    <col min="5" max="5" width="21" customWidth="1"/>
    <col min="6" max="6" width="20.140625" customWidth="1"/>
    <col min="7" max="13" width="13.7109375" customWidth="1"/>
    <col min="14" max="14" width="15.42578125" style="30" customWidth="1"/>
    <col min="15" max="15" width="14.42578125" customWidth="1"/>
    <col min="16" max="16" width="16" customWidth="1"/>
    <col min="17" max="17" width="13.7109375" customWidth="1"/>
    <col min="18" max="18" width="13.42578125" customWidth="1"/>
    <col min="19" max="19" width="13.85546875" customWidth="1"/>
  </cols>
  <sheetData>
    <row r="1" spans="1:19" ht="40.5" customHeight="1" x14ac:dyDescent="0.3">
      <c r="A1" t="s">
        <v>42</v>
      </c>
      <c r="B1" s="331" t="s">
        <v>43</v>
      </c>
      <c r="C1" s="392" t="s">
        <v>44</v>
      </c>
      <c r="D1" s="392"/>
      <c r="E1" s="260" t="s">
        <v>45</v>
      </c>
      <c r="F1" s="295"/>
      <c r="G1" s="295"/>
      <c r="H1" s="293"/>
      <c r="I1" s="294"/>
      <c r="J1" s="77"/>
      <c r="K1" s="77"/>
      <c r="L1" s="77"/>
      <c r="N1" s="32"/>
    </row>
    <row r="2" spans="1:19" ht="25.5" customHeight="1" x14ac:dyDescent="0.3">
      <c r="B2" s="331"/>
      <c r="C2" s="360" t="s">
        <v>46</v>
      </c>
      <c r="D2" s="360" t="s">
        <v>47</v>
      </c>
      <c r="E2" s="260"/>
      <c r="F2" s="359"/>
      <c r="G2" s="295"/>
      <c r="H2" s="293"/>
      <c r="I2" s="294"/>
      <c r="J2" s="77"/>
      <c r="K2" s="77"/>
      <c r="L2" s="77"/>
      <c r="N2" s="362" t="s">
        <v>48</v>
      </c>
    </row>
    <row r="3" spans="1:19" ht="29.25" customHeight="1" x14ac:dyDescent="0.25">
      <c r="C3" s="358">
        <v>2022</v>
      </c>
      <c r="D3" s="288">
        <f>C3+1</f>
        <v>2023</v>
      </c>
      <c r="E3" s="208" t="s">
        <v>49</v>
      </c>
      <c r="F3" s="41" t="s">
        <v>50</v>
      </c>
      <c r="G3" s="395" t="s">
        <v>51</v>
      </c>
      <c r="H3" s="396"/>
      <c r="I3" s="396"/>
      <c r="J3" s="395" t="s">
        <v>52</v>
      </c>
      <c r="K3" s="396"/>
      <c r="L3" s="396"/>
      <c r="M3" s="385">
        <f>D3+1</f>
        <v>2024</v>
      </c>
      <c r="N3" s="386"/>
      <c r="O3" s="386"/>
      <c r="P3" s="56">
        <f>M3+1</f>
        <v>2025</v>
      </c>
      <c r="Q3" s="56">
        <f>P3+1</f>
        <v>2026</v>
      </c>
      <c r="R3" s="56">
        <f>Q3+1</f>
        <v>2027</v>
      </c>
      <c r="S3" s="56">
        <f>R3+1</f>
        <v>2028</v>
      </c>
    </row>
    <row r="4" spans="1:19" ht="26.25" customHeight="1" x14ac:dyDescent="0.25">
      <c r="C4" s="9"/>
      <c r="D4" s="35"/>
      <c r="F4" s="42"/>
      <c r="G4" s="47" t="s">
        <v>53</v>
      </c>
      <c r="H4" s="48" t="s">
        <v>54</v>
      </c>
      <c r="I4" s="57" t="s">
        <v>55</v>
      </c>
      <c r="J4" s="47" t="s">
        <v>53</v>
      </c>
      <c r="K4" s="48" t="s">
        <v>54</v>
      </c>
      <c r="L4" s="57" t="s">
        <v>55</v>
      </c>
      <c r="M4" s="47" t="s">
        <v>53</v>
      </c>
      <c r="N4" s="48" t="s">
        <v>54</v>
      </c>
      <c r="O4" s="57" t="s">
        <v>55</v>
      </c>
      <c r="P4" s="57" t="s">
        <v>55</v>
      </c>
      <c r="Q4" s="57" t="s">
        <v>55</v>
      </c>
      <c r="R4" s="57" t="s">
        <v>55</v>
      </c>
      <c r="S4" s="57" t="s">
        <v>55</v>
      </c>
    </row>
    <row r="5" spans="1:19" ht="12" customHeight="1" x14ac:dyDescent="0.25">
      <c r="C5" s="9"/>
      <c r="D5" s="35"/>
      <c r="E5" s="387" t="s">
        <v>56</v>
      </c>
      <c r="F5" s="44" t="s">
        <v>57</v>
      </c>
      <c r="G5" s="133">
        <v>0</v>
      </c>
      <c r="H5" s="133">
        <v>0</v>
      </c>
      <c r="I5" s="45">
        <f>G5*H5</f>
        <v>0</v>
      </c>
      <c r="J5" s="133">
        <v>0</v>
      </c>
      <c r="K5" s="296">
        <f>+H5*1</f>
        <v>0</v>
      </c>
      <c r="L5" s="45">
        <f>J5*K5</f>
        <v>0</v>
      </c>
      <c r="M5" s="296">
        <f>G5+J5</f>
        <v>0</v>
      </c>
      <c r="N5" s="296">
        <f>(H5+K5)/2</f>
        <v>0</v>
      </c>
      <c r="O5" s="45">
        <f>M5*N5</f>
        <v>0</v>
      </c>
      <c r="P5" s="133">
        <f>O5*1.5</f>
        <v>0</v>
      </c>
      <c r="Q5" s="134">
        <f>P5*1.2</f>
        <v>0</v>
      </c>
      <c r="R5" s="134">
        <f>Q5*1.2</f>
        <v>0</v>
      </c>
      <c r="S5" s="134">
        <f>R5*1.2</f>
        <v>0</v>
      </c>
    </row>
    <row r="6" spans="1:19" ht="12" customHeight="1" x14ac:dyDescent="0.25">
      <c r="C6" s="9"/>
      <c r="D6" s="35"/>
      <c r="E6" s="387"/>
      <c r="F6" s="44" t="s">
        <v>58</v>
      </c>
      <c r="G6" s="45">
        <f>G5*1</f>
        <v>0</v>
      </c>
      <c r="H6" s="133">
        <v>0</v>
      </c>
      <c r="I6" s="45">
        <f>G6*H6</f>
        <v>0</v>
      </c>
      <c r="J6" s="45">
        <f>J5*1</f>
        <v>0</v>
      </c>
      <c r="K6" s="296">
        <f>+H6*1</f>
        <v>0</v>
      </c>
      <c r="L6" s="45">
        <f>J6*K6</f>
        <v>0</v>
      </c>
      <c r="M6" s="45">
        <f>M5*1</f>
        <v>0</v>
      </c>
      <c r="N6" s="296">
        <f>(H6+K6)/2</f>
        <v>0</v>
      </c>
      <c r="O6" s="45">
        <f>M6*N6</f>
        <v>0</v>
      </c>
      <c r="P6" s="133">
        <f>O6*1.5</f>
        <v>0</v>
      </c>
      <c r="Q6" s="134">
        <f t="shared" ref="Q6:R8" si="0">P6*1.2</f>
        <v>0</v>
      </c>
      <c r="R6" s="134">
        <f t="shared" si="0"/>
        <v>0</v>
      </c>
      <c r="S6" s="134">
        <f t="shared" ref="S6:S8" si="1">R6*1.2</f>
        <v>0</v>
      </c>
    </row>
    <row r="7" spans="1:19" ht="12" customHeight="1" x14ac:dyDescent="0.25">
      <c r="C7" s="9"/>
      <c r="D7" s="35"/>
      <c r="E7" s="387"/>
      <c r="F7" s="38"/>
      <c r="G7" s="45"/>
      <c r="H7" s="45"/>
      <c r="I7" s="44"/>
      <c r="J7" s="45"/>
      <c r="K7" s="45"/>
      <c r="L7" s="44"/>
      <c r="M7" s="45"/>
      <c r="N7" s="45"/>
      <c r="O7" s="44"/>
      <c r="P7" s="133">
        <v>0</v>
      </c>
      <c r="Q7" s="134">
        <f t="shared" si="0"/>
        <v>0</v>
      </c>
      <c r="R7" s="134">
        <f t="shared" si="0"/>
        <v>0</v>
      </c>
      <c r="S7" s="134">
        <f t="shared" si="1"/>
        <v>0</v>
      </c>
    </row>
    <row r="8" spans="1:19" ht="12" customHeight="1" x14ac:dyDescent="0.25">
      <c r="C8" s="9"/>
      <c r="D8" s="35"/>
      <c r="E8" s="387"/>
      <c r="F8" s="286" t="s">
        <v>59</v>
      </c>
      <c r="G8" s="46"/>
      <c r="H8" s="46"/>
      <c r="I8" s="54">
        <f>I5-I6-I7</f>
        <v>0</v>
      </c>
      <c r="J8" s="46"/>
      <c r="K8" s="46"/>
      <c r="L8" s="54">
        <f>L5-L6-L7</f>
        <v>0</v>
      </c>
      <c r="M8" s="46"/>
      <c r="N8" s="46"/>
      <c r="O8" s="54">
        <f>O5-O6-O7</f>
        <v>0</v>
      </c>
      <c r="P8" s="54">
        <f>P5-P6-P7</f>
        <v>0</v>
      </c>
      <c r="Q8" s="61">
        <f t="shared" si="0"/>
        <v>0</v>
      </c>
      <c r="R8" s="61">
        <f t="shared" si="0"/>
        <v>0</v>
      </c>
      <c r="S8" s="61">
        <f t="shared" si="1"/>
        <v>0</v>
      </c>
    </row>
    <row r="9" spans="1:19" ht="12" customHeight="1" x14ac:dyDescent="0.25">
      <c r="C9" s="9"/>
      <c r="D9" s="35"/>
      <c r="E9" s="87"/>
      <c r="N9"/>
      <c r="P9" s="14"/>
      <c r="Q9" s="58"/>
      <c r="R9" s="58"/>
      <c r="S9" s="58"/>
    </row>
    <row r="10" spans="1:19" ht="22.5" customHeight="1" x14ac:dyDescent="0.25">
      <c r="C10" s="9"/>
      <c r="D10" s="35"/>
      <c r="E10" s="388" t="s">
        <v>60</v>
      </c>
      <c r="F10" s="41" t="s">
        <v>50</v>
      </c>
      <c r="G10" s="47" t="s">
        <v>53</v>
      </c>
      <c r="H10" s="48" t="s">
        <v>54</v>
      </c>
      <c r="I10" s="57" t="s">
        <v>61</v>
      </c>
      <c r="J10" s="47" t="s">
        <v>53</v>
      </c>
      <c r="K10" s="48" t="s">
        <v>54</v>
      </c>
      <c r="L10" s="57" t="s">
        <v>61</v>
      </c>
      <c r="M10" s="47" t="s">
        <v>53</v>
      </c>
      <c r="N10" s="48" t="s">
        <v>54</v>
      </c>
      <c r="O10" s="57" t="s">
        <v>61</v>
      </c>
      <c r="P10" s="57" t="s">
        <v>61</v>
      </c>
      <c r="Q10" s="59" t="s">
        <v>61</v>
      </c>
      <c r="R10" s="59" t="s">
        <v>61</v>
      </c>
      <c r="S10" s="59" t="s">
        <v>61</v>
      </c>
    </row>
    <row r="11" spans="1:19" ht="12" customHeight="1" x14ac:dyDescent="0.25">
      <c r="C11" s="9"/>
      <c r="D11" s="35"/>
      <c r="E11" s="388"/>
      <c r="F11" s="44" t="s">
        <v>57</v>
      </c>
      <c r="G11" s="133">
        <v>0</v>
      </c>
      <c r="H11" s="133">
        <v>0</v>
      </c>
      <c r="I11" s="45">
        <f>G11*H11</f>
        <v>0</v>
      </c>
      <c r="J11" s="133">
        <v>0</v>
      </c>
      <c r="K11" s="296">
        <f>+H11*1</f>
        <v>0</v>
      </c>
      <c r="L11" s="45">
        <f>J11*K11</f>
        <v>0</v>
      </c>
      <c r="M11" s="296">
        <f>G11+J11</f>
        <v>0</v>
      </c>
      <c r="N11" s="296">
        <f>(H11+K11)/2</f>
        <v>0</v>
      </c>
      <c r="O11" s="45">
        <f>M11*N11</f>
        <v>0</v>
      </c>
      <c r="P11" s="133">
        <f>O11*1.5</f>
        <v>0</v>
      </c>
      <c r="Q11" s="134">
        <f>P11*1.2</f>
        <v>0</v>
      </c>
      <c r="R11" s="134">
        <f>Q11*1.2</f>
        <v>0</v>
      </c>
      <c r="S11" s="134">
        <f>R11*1.2</f>
        <v>0</v>
      </c>
    </row>
    <row r="12" spans="1:19" ht="12" customHeight="1" x14ac:dyDescent="0.25">
      <c r="C12" s="9"/>
      <c r="D12" s="35"/>
      <c r="E12" s="388"/>
      <c r="F12" s="44" t="s">
        <v>58</v>
      </c>
      <c r="G12" s="45">
        <f>G11*1</f>
        <v>0</v>
      </c>
      <c r="H12" s="133">
        <v>0</v>
      </c>
      <c r="I12" s="45">
        <f>G12*H12</f>
        <v>0</v>
      </c>
      <c r="J12" s="45">
        <f>J11*1</f>
        <v>0</v>
      </c>
      <c r="K12" s="296">
        <f>+H12*1</f>
        <v>0</v>
      </c>
      <c r="L12" s="45">
        <f>J12*K12</f>
        <v>0</v>
      </c>
      <c r="M12" s="45">
        <f>M11*1</f>
        <v>0</v>
      </c>
      <c r="N12" s="296">
        <f>(H12+K12)/2</f>
        <v>0</v>
      </c>
      <c r="O12" s="45">
        <f>M12*N12</f>
        <v>0</v>
      </c>
      <c r="P12" s="133">
        <f>O12*1.5</f>
        <v>0</v>
      </c>
      <c r="Q12" s="134">
        <f t="shared" ref="Q12:R14" si="2">P12*1.2</f>
        <v>0</v>
      </c>
      <c r="R12" s="134">
        <f t="shared" si="2"/>
        <v>0</v>
      </c>
      <c r="S12" s="134">
        <f t="shared" ref="S12:S14" si="3">R12*1.2</f>
        <v>0</v>
      </c>
    </row>
    <row r="13" spans="1:19" ht="12" customHeight="1" x14ac:dyDescent="0.25">
      <c r="C13" s="9"/>
      <c r="D13" s="35"/>
      <c r="E13" s="388"/>
      <c r="F13" s="38"/>
      <c r="G13" s="45"/>
      <c r="H13" s="45"/>
      <c r="I13" s="44"/>
      <c r="J13" s="45"/>
      <c r="K13" s="45"/>
      <c r="L13" s="44"/>
      <c r="M13" s="45"/>
      <c r="N13" s="45"/>
      <c r="O13" s="44"/>
      <c r="P13" s="133">
        <v>0</v>
      </c>
      <c r="Q13" s="134">
        <f t="shared" si="2"/>
        <v>0</v>
      </c>
      <c r="R13" s="134">
        <f t="shared" si="2"/>
        <v>0</v>
      </c>
      <c r="S13" s="134">
        <f t="shared" si="3"/>
        <v>0</v>
      </c>
    </row>
    <row r="14" spans="1:19" ht="12" customHeight="1" x14ac:dyDescent="0.25">
      <c r="C14" s="9"/>
      <c r="D14" s="35"/>
      <c r="E14" s="388"/>
      <c r="F14" s="286" t="s">
        <v>59</v>
      </c>
      <c r="G14" s="46"/>
      <c r="H14" s="46"/>
      <c r="I14" s="54">
        <f>I11-I12-I13</f>
        <v>0</v>
      </c>
      <c r="J14" s="46"/>
      <c r="K14" s="46"/>
      <c r="L14" s="54">
        <f>L11-L12-L13</f>
        <v>0</v>
      </c>
      <c r="M14" s="46"/>
      <c r="N14" s="46"/>
      <c r="O14" s="54">
        <f>O11-O12-O13</f>
        <v>0</v>
      </c>
      <c r="P14" s="54">
        <f>P11-P12-P13</f>
        <v>0</v>
      </c>
      <c r="Q14" s="61">
        <f t="shared" si="2"/>
        <v>0</v>
      </c>
      <c r="R14" s="61">
        <f t="shared" si="2"/>
        <v>0</v>
      </c>
      <c r="S14" s="61">
        <f t="shared" si="3"/>
        <v>0</v>
      </c>
    </row>
    <row r="15" spans="1:19" ht="12" customHeight="1" x14ac:dyDescent="0.25">
      <c r="C15" s="9"/>
      <c r="D15" s="35"/>
      <c r="E15" s="87"/>
      <c r="N15"/>
      <c r="P15" s="14"/>
      <c r="Q15" s="58"/>
      <c r="R15" s="58"/>
      <c r="S15" s="58"/>
    </row>
    <row r="16" spans="1:19" ht="27" customHeight="1" x14ac:dyDescent="0.25">
      <c r="C16" s="9"/>
      <c r="D16" s="35"/>
      <c r="E16" s="388" t="s">
        <v>62</v>
      </c>
      <c r="F16" s="41" t="s">
        <v>50</v>
      </c>
      <c r="G16" s="47" t="s">
        <v>53</v>
      </c>
      <c r="H16" s="48" t="s">
        <v>54</v>
      </c>
      <c r="I16" s="57" t="s">
        <v>63</v>
      </c>
      <c r="J16" s="47" t="s">
        <v>53</v>
      </c>
      <c r="K16" s="48" t="s">
        <v>54</v>
      </c>
      <c r="L16" s="57" t="s">
        <v>63</v>
      </c>
      <c r="M16" s="47" t="s">
        <v>53</v>
      </c>
      <c r="N16" s="48" t="s">
        <v>54</v>
      </c>
      <c r="O16" s="57" t="s">
        <v>63</v>
      </c>
      <c r="P16" s="57" t="s">
        <v>63</v>
      </c>
      <c r="Q16" s="59" t="s">
        <v>63</v>
      </c>
      <c r="R16" s="59" t="s">
        <v>63</v>
      </c>
      <c r="S16" s="59" t="s">
        <v>63</v>
      </c>
    </row>
    <row r="17" spans="1:19" ht="12" customHeight="1" x14ac:dyDescent="0.25">
      <c r="C17" s="9"/>
      <c r="D17" s="35"/>
      <c r="E17" s="388"/>
      <c r="F17" s="44" t="s">
        <v>57</v>
      </c>
      <c r="G17" s="133">
        <v>0</v>
      </c>
      <c r="H17" s="133">
        <v>0</v>
      </c>
      <c r="I17" s="45">
        <f>G17*H17</f>
        <v>0</v>
      </c>
      <c r="J17" s="133">
        <v>0</v>
      </c>
      <c r="K17" s="296">
        <f>+H17*1</f>
        <v>0</v>
      </c>
      <c r="L17" s="45">
        <f>J17*K17</f>
        <v>0</v>
      </c>
      <c r="M17" s="296">
        <f>G17+J17</f>
        <v>0</v>
      </c>
      <c r="N17" s="296">
        <f>(H17+K17)/2</f>
        <v>0</v>
      </c>
      <c r="O17" s="45">
        <f>M17*N17</f>
        <v>0</v>
      </c>
      <c r="P17" s="133">
        <f>O17*1.5</f>
        <v>0</v>
      </c>
      <c r="Q17" s="134">
        <f>P17*1.2</f>
        <v>0</v>
      </c>
      <c r="R17" s="134">
        <f>Q17*1.2</f>
        <v>0</v>
      </c>
      <c r="S17" s="134">
        <f>R17*1.2</f>
        <v>0</v>
      </c>
    </row>
    <row r="18" spans="1:19" ht="12" customHeight="1" x14ac:dyDescent="0.25">
      <c r="C18" s="9"/>
      <c r="D18" s="35"/>
      <c r="E18" s="388"/>
      <c r="F18" s="44" t="s">
        <v>58</v>
      </c>
      <c r="G18" s="45">
        <f>G17*1</f>
        <v>0</v>
      </c>
      <c r="H18" s="133">
        <v>0</v>
      </c>
      <c r="I18" s="45">
        <f>G18*H18</f>
        <v>0</v>
      </c>
      <c r="J18" s="45">
        <f>J17*1</f>
        <v>0</v>
      </c>
      <c r="K18" s="296">
        <f>+H18*1</f>
        <v>0</v>
      </c>
      <c r="L18" s="45">
        <f>J18*K18</f>
        <v>0</v>
      </c>
      <c r="M18" s="45">
        <f>M17*1</f>
        <v>0</v>
      </c>
      <c r="N18" s="296">
        <f>(H18+K18)/2</f>
        <v>0</v>
      </c>
      <c r="O18" s="45">
        <f>M18*N18</f>
        <v>0</v>
      </c>
      <c r="P18" s="133">
        <f>O18*1.5</f>
        <v>0</v>
      </c>
      <c r="Q18" s="134">
        <f t="shared" ref="Q18:R20" si="4">P18*1.2</f>
        <v>0</v>
      </c>
      <c r="R18" s="134">
        <f t="shared" si="4"/>
        <v>0</v>
      </c>
      <c r="S18" s="134">
        <f t="shared" ref="S18:S20" si="5">R18*1.2</f>
        <v>0</v>
      </c>
    </row>
    <row r="19" spans="1:19" ht="12" customHeight="1" x14ac:dyDescent="0.25">
      <c r="C19" s="9"/>
      <c r="D19" s="35"/>
      <c r="E19" s="388"/>
      <c r="F19" s="38"/>
      <c r="G19" s="45"/>
      <c r="H19" s="45"/>
      <c r="I19" s="44"/>
      <c r="J19" s="45"/>
      <c r="K19" s="45"/>
      <c r="L19" s="44"/>
      <c r="M19" s="45"/>
      <c r="N19" s="45"/>
      <c r="O19" s="44"/>
      <c r="P19" s="133">
        <v>0</v>
      </c>
      <c r="Q19" s="134">
        <f t="shared" si="4"/>
        <v>0</v>
      </c>
      <c r="R19" s="134">
        <f t="shared" si="4"/>
        <v>0</v>
      </c>
      <c r="S19" s="134">
        <f t="shared" si="5"/>
        <v>0</v>
      </c>
    </row>
    <row r="20" spans="1:19" ht="12" customHeight="1" x14ac:dyDescent="0.25">
      <c r="C20" s="9"/>
      <c r="D20" s="35"/>
      <c r="E20" s="388"/>
      <c r="F20" s="286" t="s">
        <v>59</v>
      </c>
      <c r="G20" s="46"/>
      <c r="H20" s="46"/>
      <c r="I20" s="54">
        <f>I17-I18-I19</f>
        <v>0</v>
      </c>
      <c r="J20" s="46"/>
      <c r="K20" s="46"/>
      <c r="L20" s="54">
        <f>L17-L18-L19</f>
        <v>0</v>
      </c>
      <c r="M20" s="46"/>
      <c r="N20" s="46"/>
      <c r="O20" s="54">
        <f>O17-O18-O19</f>
        <v>0</v>
      </c>
      <c r="P20" s="54">
        <f>P17-P18-P19</f>
        <v>0</v>
      </c>
      <c r="Q20" s="61">
        <f t="shared" si="4"/>
        <v>0</v>
      </c>
      <c r="R20" s="61">
        <f t="shared" si="4"/>
        <v>0</v>
      </c>
      <c r="S20" s="61">
        <f t="shared" si="5"/>
        <v>0</v>
      </c>
    </row>
    <row r="21" spans="1:19" ht="12" customHeight="1" x14ac:dyDescent="0.25">
      <c r="C21" s="9"/>
      <c r="D21" s="35"/>
      <c r="E21" s="87"/>
      <c r="N21"/>
      <c r="P21" s="14"/>
      <c r="Q21" s="58"/>
      <c r="R21" s="58"/>
      <c r="S21" s="58"/>
    </row>
    <row r="22" spans="1:19" ht="24.75" customHeight="1" x14ac:dyDescent="0.25">
      <c r="C22" s="9"/>
      <c r="D22" s="35"/>
      <c r="E22" s="388" t="s">
        <v>64</v>
      </c>
      <c r="F22" s="41" t="s">
        <v>50</v>
      </c>
      <c r="G22" s="47" t="s">
        <v>53</v>
      </c>
      <c r="H22" s="48" t="s">
        <v>54</v>
      </c>
      <c r="I22" s="57" t="s">
        <v>65</v>
      </c>
      <c r="J22" s="47" t="s">
        <v>53</v>
      </c>
      <c r="K22" s="48" t="s">
        <v>54</v>
      </c>
      <c r="L22" s="57" t="s">
        <v>65</v>
      </c>
      <c r="M22" s="47" t="s">
        <v>53</v>
      </c>
      <c r="N22" s="48" t="s">
        <v>54</v>
      </c>
      <c r="O22" s="57" t="s">
        <v>65</v>
      </c>
      <c r="P22" s="57" t="s">
        <v>65</v>
      </c>
      <c r="Q22" s="59" t="s">
        <v>65</v>
      </c>
      <c r="R22" s="59" t="s">
        <v>65</v>
      </c>
      <c r="S22" s="59" t="s">
        <v>65</v>
      </c>
    </row>
    <row r="23" spans="1:19" ht="12" customHeight="1" x14ac:dyDescent="0.25">
      <c r="C23" s="9"/>
      <c r="D23" s="35"/>
      <c r="E23" s="388"/>
      <c r="F23" s="44" t="s">
        <v>57</v>
      </c>
      <c r="G23" s="133">
        <v>0</v>
      </c>
      <c r="H23" s="133">
        <v>0</v>
      </c>
      <c r="I23" s="45">
        <f>G23*H23</f>
        <v>0</v>
      </c>
      <c r="J23" s="133">
        <v>0</v>
      </c>
      <c r="K23" s="296">
        <f>+H23*1</f>
        <v>0</v>
      </c>
      <c r="L23" s="45">
        <f>J23*K23</f>
        <v>0</v>
      </c>
      <c r="M23" s="296">
        <f>G23+J23</f>
        <v>0</v>
      </c>
      <c r="N23" s="296">
        <f>(H23+K23)/2</f>
        <v>0</v>
      </c>
      <c r="O23" s="45">
        <f>M23*N23</f>
        <v>0</v>
      </c>
      <c r="P23" s="133">
        <f>O23*1.5</f>
        <v>0</v>
      </c>
      <c r="Q23" s="134">
        <f>P23*1.2</f>
        <v>0</v>
      </c>
      <c r="R23" s="134">
        <f>Q23*1.2</f>
        <v>0</v>
      </c>
      <c r="S23" s="134">
        <f>R23*1.2</f>
        <v>0</v>
      </c>
    </row>
    <row r="24" spans="1:19" ht="12" customHeight="1" x14ac:dyDescent="0.25">
      <c r="C24" s="9"/>
      <c r="D24" s="35"/>
      <c r="E24" s="388"/>
      <c r="F24" s="44" t="s">
        <v>58</v>
      </c>
      <c r="G24" s="45">
        <f>G23*1</f>
        <v>0</v>
      </c>
      <c r="H24" s="133">
        <v>0</v>
      </c>
      <c r="I24" s="45">
        <f>G24*H24</f>
        <v>0</v>
      </c>
      <c r="J24" s="45">
        <f>J23*1</f>
        <v>0</v>
      </c>
      <c r="K24" s="296">
        <f>+H24*1</f>
        <v>0</v>
      </c>
      <c r="L24" s="45">
        <f>J24*K24</f>
        <v>0</v>
      </c>
      <c r="M24" s="45">
        <f>M23*1</f>
        <v>0</v>
      </c>
      <c r="N24" s="296">
        <f>(H24+K24)/2</f>
        <v>0</v>
      </c>
      <c r="O24" s="45">
        <f>M24*N24</f>
        <v>0</v>
      </c>
      <c r="P24" s="133">
        <f>O24*1.5</f>
        <v>0</v>
      </c>
      <c r="Q24" s="134">
        <f t="shared" ref="Q24:R26" si="6">P24*1.2</f>
        <v>0</v>
      </c>
      <c r="R24" s="134">
        <f t="shared" si="6"/>
        <v>0</v>
      </c>
      <c r="S24" s="134">
        <f t="shared" ref="S24:S26" si="7">R24*1.2</f>
        <v>0</v>
      </c>
    </row>
    <row r="25" spans="1:19" ht="12" customHeight="1" x14ac:dyDescent="0.25">
      <c r="C25" s="9"/>
      <c r="D25" s="35"/>
      <c r="E25" s="388"/>
      <c r="F25" s="38"/>
      <c r="G25" s="45"/>
      <c r="H25" s="45"/>
      <c r="I25" s="44"/>
      <c r="J25" s="45"/>
      <c r="K25" s="45"/>
      <c r="L25" s="44"/>
      <c r="M25" s="45"/>
      <c r="N25" s="45"/>
      <c r="O25" s="44"/>
      <c r="P25" s="133">
        <v>0</v>
      </c>
      <c r="Q25" s="134">
        <f t="shared" si="6"/>
        <v>0</v>
      </c>
      <c r="R25" s="134">
        <f t="shared" si="6"/>
        <v>0</v>
      </c>
      <c r="S25" s="134">
        <f t="shared" si="7"/>
        <v>0</v>
      </c>
    </row>
    <row r="26" spans="1:19" ht="12" customHeight="1" x14ac:dyDescent="0.25">
      <c r="C26" s="9"/>
      <c r="D26" s="35"/>
      <c r="E26" s="388"/>
      <c r="F26" s="286" t="s">
        <v>59</v>
      </c>
      <c r="G26" s="46"/>
      <c r="H26" s="46"/>
      <c r="I26" s="54">
        <f>I23-I24-I25</f>
        <v>0</v>
      </c>
      <c r="J26" s="46"/>
      <c r="K26" s="46"/>
      <c r="L26" s="54">
        <f>L23-L24-L25</f>
        <v>0</v>
      </c>
      <c r="M26" s="46"/>
      <c r="N26" s="46"/>
      <c r="O26" s="54">
        <f>O23-O24-O25</f>
        <v>0</v>
      </c>
      <c r="P26" s="54">
        <f>P23-P24-P25</f>
        <v>0</v>
      </c>
      <c r="Q26" s="61">
        <f t="shared" si="6"/>
        <v>0</v>
      </c>
      <c r="R26" s="61">
        <f t="shared" si="6"/>
        <v>0</v>
      </c>
      <c r="S26" s="61">
        <f t="shared" si="7"/>
        <v>0</v>
      </c>
    </row>
    <row r="27" spans="1:19" ht="12" customHeight="1" x14ac:dyDescent="0.25">
      <c r="C27" s="9"/>
      <c r="D27" s="35"/>
      <c r="E27" s="87"/>
      <c r="N27"/>
      <c r="P27" s="14"/>
      <c r="Q27" s="58"/>
      <c r="R27" s="58"/>
      <c r="S27" s="58"/>
    </row>
    <row r="28" spans="1:19" ht="12" customHeight="1" x14ac:dyDescent="0.25">
      <c r="A28" s="388" t="s">
        <v>66</v>
      </c>
      <c r="B28" s="287"/>
      <c r="C28" s="292">
        <f>C3</f>
        <v>2022</v>
      </c>
      <c r="D28" s="288">
        <f>D3</f>
        <v>2023</v>
      </c>
      <c r="E28" s="389" t="s">
        <v>66</v>
      </c>
      <c r="F28" s="41"/>
      <c r="G28" s="393" t="s">
        <v>51</v>
      </c>
      <c r="H28" s="394"/>
      <c r="I28" s="394"/>
      <c r="J28" s="393" t="s">
        <v>52</v>
      </c>
      <c r="K28" s="394"/>
      <c r="L28" s="394"/>
      <c r="M28" s="385">
        <f>M3</f>
        <v>2024</v>
      </c>
      <c r="N28" s="386"/>
      <c r="O28" s="386"/>
      <c r="P28" s="56">
        <f>P3</f>
        <v>2025</v>
      </c>
      <c r="Q28" s="60">
        <f>Q3</f>
        <v>2026</v>
      </c>
      <c r="R28" s="60">
        <f>R3</f>
        <v>2027</v>
      </c>
      <c r="S28" s="60">
        <f>S3</f>
        <v>2028</v>
      </c>
    </row>
    <row r="29" spans="1:19" ht="26.25" customHeight="1" x14ac:dyDescent="0.25">
      <c r="A29" s="388"/>
      <c r="B29" s="38"/>
      <c r="C29" s="7"/>
      <c r="D29" s="290"/>
      <c r="E29" s="390"/>
      <c r="F29" s="42"/>
      <c r="G29" s="47" t="s">
        <v>53</v>
      </c>
      <c r="H29" s="48" t="s">
        <v>54</v>
      </c>
      <c r="I29" s="57" t="s">
        <v>67</v>
      </c>
      <c r="J29" s="47" t="s">
        <v>53</v>
      </c>
      <c r="K29" s="48" t="s">
        <v>54</v>
      </c>
      <c r="L29" s="57" t="s">
        <v>67</v>
      </c>
      <c r="M29" s="47" t="s">
        <v>53</v>
      </c>
      <c r="N29" s="48" t="s">
        <v>54</v>
      </c>
      <c r="O29" s="57" t="s">
        <v>67</v>
      </c>
      <c r="P29" s="57" t="s">
        <v>67</v>
      </c>
      <c r="Q29" s="62" t="s">
        <v>67</v>
      </c>
      <c r="R29" s="62" t="s">
        <v>67</v>
      </c>
      <c r="S29" s="62" t="s">
        <v>67</v>
      </c>
    </row>
    <row r="30" spans="1:19" ht="12" customHeight="1" x14ac:dyDescent="0.25">
      <c r="A30" s="388"/>
      <c r="B30" s="44" t="s">
        <v>57</v>
      </c>
      <c r="C30" s="137">
        <v>0</v>
      </c>
      <c r="D30" s="291">
        <v>0</v>
      </c>
      <c r="E30" s="390"/>
      <c r="F30" s="44" t="s">
        <v>57</v>
      </c>
      <c r="G30" s="49">
        <f>G5+G11+G17+G23</f>
        <v>0</v>
      </c>
      <c r="H30" s="63" t="e">
        <f>I30/G30</f>
        <v>#DIV/0!</v>
      </c>
      <c r="I30" s="64">
        <f>I5+I11+I17+I23</f>
        <v>0</v>
      </c>
      <c r="J30" s="49">
        <f>J5+J11+J17+J23</f>
        <v>0</v>
      </c>
      <c r="K30" s="63" t="e">
        <f>L30/J30</f>
        <v>#DIV/0!</v>
      </c>
      <c r="L30" s="64">
        <f>L5+L11+L17+L23</f>
        <v>0</v>
      </c>
      <c r="M30" s="49">
        <f>M5+M11+M17+M23</f>
        <v>0</v>
      </c>
      <c r="N30" s="63" t="e">
        <f>O30/M30</f>
        <v>#DIV/0!</v>
      </c>
      <c r="O30" s="64">
        <f>O5+O11+O17+O23</f>
        <v>0</v>
      </c>
      <c r="P30" s="64">
        <f>P5+P11+P17+P23</f>
        <v>0</v>
      </c>
      <c r="Q30" s="64">
        <f>Q5+Q11+Q17+Q23</f>
        <v>0</v>
      </c>
      <c r="R30" s="64">
        <f>R5+R11+R17+R23</f>
        <v>0</v>
      </c>
      <c r="S30" s="64">
        <f>S5+S11+S17+S23</f>
        <v>0</v>
      </c>
    </row>
    <row r="31" spans="1:19" ht="12" customHeight="1" x14ac:dyDescent="0.25">
      <c r="A31" s="388"/>
      <c r="B31" s="44" t="s">
        <v>58</v>
      </c>
      <c r="C31" s="137">
        <v>0</v>
      </c>
      <c r="D31" s="291">
        <v>0</v>
      </c>
      <c r="E31" s="390"/>
      <c r="F31" s="44" t="s">
        <v>58</v>
      </c>
      <c r="G31" s="43">
        <f>G30*1</f>
        <v>0</v>
      </c>
      <c r="H31" s="63" t="e">
        <f>I31/G31</f>
        <v>#DIV/0!</v>
      </c>
      <c r="I31" s="64">
        <f>I6+I12+I18+I24</f>
        <v>0</v>
      </c>
      <c r="J31" s="43">
        <f>J30*1</f>
        <v>0</v>
      </c>
      <c r="K31" s="63" t="e">
        <f>L31/J31</f>
        <v>#DIV/0!</v>
      </c>
      <c r="L31" s="64">
        <f>L6+L12+L18+L24</f>
        <v>0</v>
      </c>
      <c r="M31" s="43">
        <f>M30*1</f>
        <v>0</v>
      </c>
      <c r="N31" s="63" t="e">
        <f>O31/M31</f>
        <v>#DIV/0!</v>
      </c>
      <c r="O31" s="64">
        <f>O6+O12+O18+O24</f>
        <v>0</v>
      </c>
      <c r="P31" s="64">
        <f>P6+P12+P18+P24</f>
        <v>0</v>
      </c>
      <c r="Q31" s="64">
        <f>Q6+Q12+Q18+Q24</f>
        <v>0</v>
      </c>
      <c r="R31" s="64">
        <f t="shared" ref="R31:S31" si="8">R6+R12+R18+R24</f>
        <v>0</v>
      </c>
      <c r="S31" s="64">
        <f t="shared" si="8"/>
        <v>0</v>
      </c>
    </row>
    <row r="32" spans="1:19" ht="12" customHeight="1" x14ac:dyDescent="0.25">
      <c r="A32" s="388"/>
      <c r="B32" s="38"/>
      <c r="C32" s="10"/>
      <c r="D32" s="289"/>
      <c r="E32" s="390"/>
      <c r="F32" s="38"/>
      <c r="G32" s="45"/>
      <c r="H32" s="45"/>
      <c r="I32" s="64"/>
      <c r="J32" s="45"/>
      <c r="K32" s="45"/>
      <c r="L32" s="64"/>
      <c r="M32" s="45"/>
      <c r="N32" s="45"/>
      <c r="O32" s="64">
        <f>O7+O13+O19+O25</f>
        <v>0</v>
      </c>
      <c r="P32" s="64">
        <f>P7+P13+P19+P25</f>
        <v>0</v>
      </c>
      <c r="Q32" s="64">
        <f t="shared" ref="Q32:S32" si="9">Q7+Q13+Q19+Q25</f>
        <v>0</v>
      </c>
      <c r="R32" s="64">
        <f t="shared" si="9"/>
        <v>0</v>
      </c>
      <c r="S32" s="64">
        <f t="shared" si="9"/>
        <v>0</v>
      </c>
    </row>
    <row r="33" spans="1:36" ht="17.25" customHeight="1" x14ac:dyDescent="0.25">
      <c r="A33" s="388"/>
      <c r="B33" s="224" t="s">
        <v>59</v>
      </c>
      <c r="C33" s="325">
        <f>C30-C31-C32</f>
        <v>0</v>
      </c>
      <c r="D33" s="325">
        <f>D30-D31-D32</f>
        <v>0</v>
      </c>
      <c r="E33" s="391"/>
      <c r="F33" s="227" t="s">
        <v>59</v>
      </c>
      <c r="G33" s="46"/>
      <c r="H33" s="46"/>
      <c r="I33" s="55">
        <f>I30-I31-I32</f>
        <v>0</v>
      </c>
      <c r="J33" s="46"/>
      <c r="K33" s="46"/>
      <c r="L33" s="55">
        <f>L30-L31-L32</f>
        <v>0</v>
      </c>
      <c r="M33" s="46"/>
      <c r="N33" s="46"/>
      <c r="O33" s="55">
        <f>O30-O31-O32</f>
        <v>0</v>
      </c>
      <c r="P33" s="55">
        <f>P30-P31-P32</f>
        <v>0</v>
      </c>
      <c r="Q33" s="51">
        <f>Q30-Q31-Q32</f>
        <v>0</v>
      </c>
      <c r="R33" s="51">
        <f>R30-R31-R32</f>
        <v>0</v>
      </c>
      <c r="S33" s="51">
        <f>S30-S31-S32</f>
        <v>0</v>
      </c>
    </row>
    <row r="36" spans="1:36" ht="16.5" customHeight="1" x14ac:dyDescent="0.3">
      <c r="E36" s="50" t="s">
        <v>68</v>
      </c>
      <c r="N36"/>
    </row>
    <row r="37" spans="1:36" ht="16.5" customHeight="1" thickBot="1" x14ac:dyDescent="0.35">
      <c r="A37" s="50"/>
      <c r="E37" s="107" t="s">
        <v>69</v>
      </c>
      <c r="N37"/>
    </row>
    <row r="38" spans="1:36" ht="24" customHeight="1" x14ac:dyDescent="0.3">
      <c r="A38" s="121" t="s">
        <v>70</v>
      </c>
      <c r="E38" s="199" t="s">
        <v>71</v>
      </c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</row>
    <row r="39" spans="1:36" ht="24" customHeight="1" x14ac:dyDescent="0.3">
      <c r="A39" s="121"/>
      <c r="E39" s="202" t="s">
        <v>72</v>
      </c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203"/>
    </row>
    <row r="40" spans="1:36" ht="18" customHeight="1" x14ac:dyDescent="0.25">
      <c r="E40" s="207" t="s">
        <v>73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203"/>
    </row>
    <row r="41" spans="1:36" ht="18" customHeight="1" x14ac:dyDescent="0.25">
      <c r="E41" s="202"/>
      <c r="F41" s="198" t="s">
        <v>74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203"/>
    </row>
    <row r="42" spans="1:36" ht="18" customHeight="1" x14ac:dyDescent="0.25">
      <c r="E42" s="202"/>
      <c r="F42" s="198" t="s">
        <v>75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203"/>
    </row>
    <row r="43" spans="1:36" ht="22.5" customHeight="1" thickBot="1" x14ac:dyDescent="0.3">
      <c r="E43" s="204" t="s">
        <v>76</v>
      </c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6"/>
    </row>
    <row r="44" spans="1:36" ht="12" customHeight="1" x14ac:dyDescent="0.25">
      <c r="N44"/>
    </row>
    <row r="45" spans="1:36" ht="12" customHeight="1" x14ac:dyDescent="0.25">
      <c r="N45"/>
    </row>
    <row r="46" spans="1:36" ht="18" customHeight="1" x14ac:dyDescent="0.3">
      <c r="A46" s="95" t="s">
        <v>77</v>
      </c>
      <c r="E46" s="226" t="s">
        <v>78</v>
      </c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</row>
    <row r="47" spans="1:36" ht="12" customHeight="1" x14ac:dyDescent="0.25">
      <c r="E47" s="34" t="s">
        <v>79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36" ht="12" customHeight="1" x14ac:dyDescent="0.25">
      <c r="E48" s="34" t="s">
        <v>80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5:23" ht="12" customHeight="1" x14ac:dyDescent="0.25">
      <c r="E49" s="34" t="s">
        <v>81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5:23" ht="12" customHeight="1" x14ac:dyDescent="0.25">
      <c r="E50" s="34" t="s">
        <v>82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5:23" ht="12" customHeight="1" x14ac:dyDescent="0.25">
      <c r="E51" s="34" t="s">
        <v>83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5:23" ht="12" customHeight="1" x14ac:dyDescent="0.25">
      <c r="E52" s="34" t="s">
        <v>84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5:23" ht="12" customHeight="1" x14ac:dyDescent="0.25"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5:23" ht="12" customHeight="1" x14ac:dyDescent="0.25">
      <c r="E54" s="34" t="s">
        <v>85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</sheetData>
  <mergeCells count="13">
    <mergeCell ref="A28:A33"/>
    <mergeCell ref="C1:D1"/>
    <mergeCell ref="G28:I28"/>
    <mergeCell ref="J28:L28"/>
    <mergeCell ref="G3:I3"/>
    <mergeCell ref="J3:L3"/>
    <mergeCell ref="M3:O3"/>
    <mergeCell ref="M28:O28"/>
    <mergeCell ref="E5:E8"/>
    <mergeCell ref="E10:E14"/>
    <mergeCell ref="E28:E33"/>
    <mergeCell ref="E16:E20"/>
    <mergeCell ref="E22:E26"/>
  </mergeCells>
  <pageMargins left="0.7" right="0.7" top="0.75" bottom="0.75" header="0.3" footer="0.3"/>
  <pageSetup paperSize="9" scale="60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5"/>
  <sheetViews>
    <sheetView zoomScale="82" zoomScaleNormal="82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F4" sqref="F4"/>
    </sheetView>
  </sheetViews>
  <sheetFormatPr defaultRowHeight="15" x14ac:dyDescent="0.25"/>
  <cols>
    <col min="1" max="1" width="48.85546875" customWidth="1"/>
    <col min="2" max="3" width="20" customWidth="1"/>
    <col min="4" max="4" width="15.140625" customWidth="1"/>
    <col min="5" max="5" width="16.140625" customWidth="1"/>
    <col min="6" max="10" width="13.7109375" customWidth="1"/>
  </cols>
  <sheetData>
    <row r="1" spans="1:10" ht="15.75" x14ac:dyDescent="0.25">
      <c r="A1" s="18" t="s">
        <v>86</v>
      </c>
      <c r="B1" s="18" t="str">
        <f>'Sales &amp; Grossmargin forecast '!B1</f>
        <v>Drafted in UGX</v>
      </c>
      <c r="C1" s="18"/>
      <c r="D1" s="307"/>
    </row>
    <row r="2" spans="1:10" ht="15.75" x14ac:dyDescent="0.25">
      <c r="A2" s="18"/>
      <c r="B2" s="398" t="s">
        <v>87</v>
      </c>
      <c r="C2" s="399"/>
      <c r="D2" s="347" t="s">
        <v>88</v>
      </c>
    </row>
    <row r="3" spans="1:10" ht="15.75" x14ac:dyDescent="0.25">
      <c r="A3" s="18"/>
      <c r="B3" s="351" t="s">
        <v>46</v>
      </c>
      <c r="C3" s="361" t="s">
        <v>47</v>
      </c>
      <c r="D3" s="347"/>
      <c r="F3" s="344" t="s">
        <v>89</v>
      </c>
    </row>
    <row r="4" spans="1:10" ht="15.75" x14ac:dyDescent="0.25">
      <c r="A4" s="34"/>
      <c r="B4" s="305">
        <f>'Sales &amp; Grossmargin forecast '!C3</f>
        <v>2022</v>
      </c>
      <c r="C4" s="305">
        <f>'Sales &amp; Grossmargin forecast '!D3</f>
        <v>2023</v>
      </c>
      <c r="D4" s="306" t="s">
        <v>51</v>
      </c>
      <c r="E4" s="306" t="s">
        <v>52</v>
      </c>
      <c r="F4" s="306">
        <f>C4+1</f>
        <v>2024</v>
      </c>
      <c r="G4" s="306">
        <f>F4+1</f>
        <v>2025</v>
      </c>
      <c r="H4" s="306">
        <f>G4+1</f>
        <v>2026</v>
      </c>
      <c r="I4" s="306">
        <f>H4+1</f>
        <v>2027</v>
      </c>
      <c r="J4" s="306">
        <f>I4+1</f>
        <v>2028</v>
      </c>
    </row>
    <row r="5" spans="1:10" x14ac:dyDescent="0.25">
      <c r="A5" s="397"/>
      <c r="B5" s="397"/>
      <c r="C5" s="397"/>
      <c r="D5" s="397"/>
      <c r="E5" s="397"/>
    </row>
    <row r="6" spans="1:10" x14ac:dyDescent="0.25">
      <c r="A6" s="1" t="s">
        <v>90</v>
      </c>
      <c r="B6" s="1"/>
      <c r="C6" s="1"/>
      <c r="D6" s="1"/>
      <c r="E6" s="1"/>
    </row>
    <row r="7" spans="1:10" x14ac:dyDescent="0.25">
      <c r="A7" s="21" t="s">
        <v>91</v>
      </c>
      <c r="B7" s="300"/>
      <c r="C7" s="300"/>
      <c r="D7" s="136">
        <v>0</v>
      </c>
      <c r="E7" s="136">
        <v>0</v>
      </c>
      <c r="F7" s="8">
        <f>SUM(D7:E7)</f>
        <v>0</v>
      </c>
      <c r="G7" s="135">
        <v>0</v>
      </c>
      <c r="H7" s="135">
        <v>0</v>
      </c>
      <c r="I7" s="135">
        <v>0</v>
      </c>
      <c r="J7" s="135">
        <v>0</v>
      </c>
    </row>
    <row r="8" spans="1:10" x14ac:dyDescent="0.25">
      <c r="A8" s="19" t="s">
        <v>92</v>
      </c>
      <c r="B8" s="301"/>
      <c r="C8" s="301"/>
      <c r="D8" s="137">
        <v>0</v>
      </c>
      <c r="E8" s="137">
        <v>0</v>
      </c>
      <c r="F8" s="8">
        <f>SUM(D8:E8)</f>
        <v>0</v>
      </c>
      <c r="G8" s="135">
        <v>0</v>
      </c>
      <c r="H8" s="135">
        <v>0</v>
      </c>
      <c r="I8" s="135">
        <v>0</v>
      </c>
      <c r="J8" s="135">
        <v>0</v>
      </c>
    </row>
    <row r="9" spans="1:10" x14ac:dyDescent="0.25">
      <c r="A9" s="20" t="s">
        <v>93</v>
      </c>
      <c r="B9" s="301"/>
      <c r="C9" s="301"/>
      <c r="D9" s="138">
        <v>0</v>
      </c>
      <c r="E9" s="138">
        <v>0</v>
      </c>
      <c r="F9" s="8">
        <f>SUM(D9:E9)</f>
        <v>0</v>
      </c>
      <c r="G9" s="135">
        <v>0</v>
      </c>
      <c r="H9" s="135">
        <v>0</v>
      </c>
      <c r="I9" s="135">
        <v>0</v>
      </c>
      <c r="J9" s="135">
        <v>0</v>
      </c>
    </row>
    <row r="10" spans="1:10" x14ac:dyDescent="0.25">
      <c r="A10" s="33" t="s">
        <v>94</v>
      </c>
      <c r="B10" s="7">
        <f>SUM(B7:B9)</f>
        <v>0</v>
      </c>
      <c r="C10" s="7">
        <f>SUM(C7:C9)</f>
        <v>0</v>
      </c>
      <c r="D10" s="7">
        <f>SUM(D7:D9)</f>
        <v>0</v>
      </c>
      <c r="E10" s="7">
        <f t="shared" ref="E10" si="0">SUM(E7:E9)</f>
        <v>0</v>
      </c>
      <c r="F10" s="39">
        <f>SUM(F7:F9)</f>
        <v>0</v>
      </c>
      <c r="G10" s="92">
        <f t="shared" ref="G10:H10" si="1">SUM(G7:G9)</f>
        <v>0</v>
      </c>
      <c r="H10" s="92">
        <f t="shared" si="1"/>
        <v>0</v>
      </c>
      <c r="I10" s="92">
        <f t="shared" ref="I10" si="2">SUM(I7:I9)</f>
        <v>0</v>
      </c>
      <c r="J10" s="92">
        <f>SUM(J7:J9)</f>
        <v>0</v>
      </c>
    </row>
    <row r="11" spans="1:10" x14ac:dyDescent="0.25">
      <c r="A11" s="15"/>
      <c r="B11" s="15"/>
      <c r="C11" s="15"/>
      <c r="G11" s="73"/>
      <c r="H11" s="73"/>
      <c r="I11" s="73"/>
      <c r="J11" s="73"/>
    </row>
    <row r="12" spans="1:10" x14ac:dyDescent="0.25">
      <c r="A12" s="1" t="s">
        <v>95</v>
      </c>
      <c r="B12" s="1"/>
      <c r="C12" s="1"/>
      <c r="D12" s="377"/>
      <c r="E12" s="377"/>
      <c r="F12" s="377"/>
      <c r="G12" s="73"/>
      <c r="H12" s="73"/>
      <c r="I12" s="73"/>
      <c r="J12" s="73"/>
    </row>
    <row r="13" spans="1:10" x14ac:dyDescent="0.25">
      <c r="A13" s="36" t="s">
        <v>96</v>
      </c>
      <c r="B13" s="287"/>
      <c r="C13" s="287"/>
      <c r="D13" s="136">
        <v>0</v>
      </c>
      <c r="E13" s="136">
        <f>D13*1</f>
        <v>0</v>
      </c>
      <c r="F13" s="8"/>
      <c r="G13" s="135">
        <v>0</v>
      </c>
      <c r="H13" s="135">
        <v>0</v>
      </c>
      <c r="I13" s="135">
        <v>0</v>
      </c>
      <c r="J13" s="135">
        <v>0</v>
      </c>
    </row>
    <row r="14" spans="1:10" x14ac:dyDescent="0.25">
      <c r="A14" s="36" t="s">
        <v>97</v>
      </c>
      <c r="B14" s="38"/>
      <c r="C14" s="38"/>
      <c r="D14" s="139">
        <v>0</v>
      </c>
      <c r="E14" s="8">
        <f>D14*1</f>
        <v>0</v>
      </c>
      <c r="F14" s="8"/>
      <c r="G14" s="135">
        <v>0</v>
      </c>
      <c r="H14" s="135">
        <v>0</v>
      </c>
      <c r="I14" s="135">
        <v>0</v>
      </c>
      <c r="J14" s="135">
        <v>0</v>
      </c>
    </row>
    <row r="15" spans="1:10" x14ac:dyDescent="0.25">
      <c r="A15" s="13" t="s">
        <v>98</v>
      </c>
      <c r="B15" s="13"/>
      <c r="C15" s="13"/>
      <c r="D15" s="7">
        <f>D13*D14</f>
        <v>0</v>
      </c>
      <c r="E15" s="7">
        <f t="shared" ref="E15" si="3">E13*E14</f>
        <v>0</v>
      </c>
      <c r="F15" s="12">
        <f>SUM(D15:E15)</f>
        <v>0</v>
      </c>
      <c r="G15" s="67">
        <f>G13*G14</f>
        <v>0</v>
      </c>
      <c r="H15" s="67">
        <f t="shared" ref="H15" si="4">H13*H14</f>
        <v>0</v>
      </c>
      <c r="I15" s="67">
        <f t="shared" ref="I15:J15" si="5">I13*I14</f>
        <v>0</v>
      </c>
      <c r="J15" s="67">
        <f t="shared" si="5"/>
        <v>0</v>
      </c>
    </row>
    <row r="16" spans="1:10" x14ac:dyDescent="0.25">
      <c r="A16" s="13"/>
      <c r="F16" s="35"/>
      <c r="G16" s="73"/>
      <c r="H16" s="73"/>
      <c r="I16" s="73"/>
      <c r="J16" s="73"/>
    </row>
    <row r="17" spans="1:10" x14ac:dyDescent="0.25">
      <c r="A17" s="36" t="s">
        <v>99</v>
      </c>
      <c r="B17" s="287"/>
      <c r="C17" s="287"/>
      <c r="D17" s="136">
        <v>0</v>
      </c>
      <c r="E17" s="136">
        <f>D17*1</f>
        <v>0</v>
      </c>
      <c r="F17" s="8"/>
      <c r="G17" s="135">
        <v>0</v>
      </c>
      <c r="H17" s="135">
        <v>0</v>
      </c>
      <c r="I17" s="135">
        <v>0</v>
      </c>
      <c r="J17" s="135">
        <v>0</v>
      </c>
    </row>
    <row r="18" spans="1:10" x14ac:dyDescent="0.25">
      <c r="A18" s="36" t="s">
        <v>97</v>
      </c>
      <c r="B18" s="38"/>
      <c r="C18" s="38"/>
      <c r="D18" s="139">
        <v>0</v>
      </c>
      <c r="E18" s="8">
        <f>D18*1</f>
        <v>0</v>
      </c>
      <c r="F18" s="10"/>
      <c r="G18" s="135">
        <v>0</v>
      </c>
      <c r="H18" s="135">
        <v>0</v>
      </c>
      <c r="I18" s="135">
        <v>0</v>
      </c>
      <c r="J18" s="135">
        <v>0</v>
      </c>
    </row>
    <row r="19" spans="1:10" x14ac:dyDescent="0.25">
      <c r="A19" s="21" t="s">
        <v>100</v>
      </c>
      <c r="B19" s="21"/>
      <c r="C19" s="21"/>
      <c r="D19" s="8">
        <f>D17*D18</f>
        <v>0</v>
      </c>
      <c r="E19" s="9">
        <f t="shared" ref="E19" si="6">E17*E18</f>
        <v>0</v>
      </c>
      <c r="F19" s="53">
        <f>SUM(D19:E19)</f>
        <v>0</v>
      </c>
      <c r="G19" s="67">
        <f t="shared" ref="G19" si="7">G17*G18</f>
        <v>0</v>
      </c>
      <c r="H19" s="67">
        <f t="shared" ref="H19" si="8">H17*H18</f>
        <v>0</v>
      </c>
      <c r="I19" s="67">
        <f t="shared" ref="I19:J19" si="9">I17*I18</f>
        <v>0</v>
      </c>
      <c r="J19" s="67">
        <f t="shared" si="9"/>
        <v>0</v>
      </c>
    </row>
    <row r="20" spans="1:10" x14ac:dyDescent="0.25">
      <c r="A20" s="14"/>
      <c r="B20" s="14"/>
      <c r="C20" s="14"/>
      <c r="D20" s="14"/>
      <c r="E20" s="14"/>
      <c r="F20" s="14"/>
      <c r="G20" s="73"/>
      <c r="H20" s="73"/>
      <c r="I20" s="73"/>
      <c r="J20" s="73"/>
    </row>
    <row r="21" spans="1:10" x14ac:dyDescent="0.25">
      <c r="A21" s="38" t="s">
        <v>101</v>
      </c>
      <c r="B21" s="44"/>
      <c r="C21" s="44"/>
      <c r="D21" s="136">
        <v>0</v>
      </c>
      <c r="E21" s="136">
        <f>D21*1</f>
        <v>0</v>
      </c>
      <c r="F21" s="9"/>
      <c r="G21" s="135">
        <v>0</v>
      </c>
      <c r="H21" s="135">
        <v>0</v>
      </c>
      <c r="I21" s="135">
        <v>0</v>
      </c>
      <c r="J21" s="135">
        <v>0</v>
      </c>
    </row>
    <row r="22" spans="1:10" x14ac:dyDescent="0.25">
      <c r="A22" s="36" t="s">
        <v>97</v>
      </c>
      <c r="B22" s="38"/>
      <c r="C22" s="38"/>
      <c r="D22" s="139">
        <v>0</v>
      </c>
      <c r="E22" s="8">
        <f>D22*1</f>
        <v>0</v>
      </c>
      <c r="F22" s="9"/>
      <c r="G22" s="135">
        <v>0</v>
      </c>
      <c r="H22" s="135">
        <v>0</v>
      </c>
      <c r="I22" s="135">
        <v>0</v>
      </c>
      <c r="J22" s="135">
        <v>0</v>
      </c>
    </row>
    <row r="23" spans="1:10" x14ac:dyDescent="0.25">
      <c r="A23" s="21" t="s">
        <v>102</v>
      </c>
      <c r="B23" s="21"/>
      <c r="C23" s="21"/>
      <c r="D23" s="8">
        <f>D21*D22</f>
        <v>0</v>
      </c>
      <c r="E23" s="8">
        <f t="shared" ref="E23" si="10">E21*E22</f>
        <v>0</v>
      </c>
      <c r="F23" s="53">
        <f>SUM(D23:E23)</f>
        <v>0</v>
      </c>
      <c r="G23" s="67">
        <f t="shared" ref="G23" si="11">G21*G22</f>
        <v>0</v>
      </c>
      <c r="H23" s="67">
        <f t="shared" ref="H23" si="12">H21*H22</f>
        <v>0</v>
      </c>
      <c r="I23" s="67">
        <f t="shared" ref="I23:J23" si="13">I21*I22</f>
        <v>0</v>
      </c>
      <c r="J23" s="67">
        <f t="shared" si="13"/>
        <v>0</v>
      </c>
    </row>
    <row r="24" spans="1:10" x14ac:dyDescent="0.25">
      <c r="A24" s="14"/>
      <c r="B24" s="14"/>
      <c r="C24" s="14"/>
      <c r="D24" s="14"/>
      <c r="E24" s="14"/>
      <c r="F24" s="14"/>
      <c r="G24" s="73"/>
      <c r="H24" s="73"/>
      <c r="I24" s="73"/>
      <c r="J24" s="73"/>
    </row>
    <row r="25" spans="1:10" x14ac:dyDescent="0.25">
      <c r="A25" s="38" t="s">
        <v>103</v>
      </c>
      <c r="B25" s="44"/>
      <c r="C25" s="44"/>
      <c r="D25" s="136">
        <v>0</v>
      </c>
      <c r="E25" s="136">
        <f>D25*1</f>
        <v>0</v>
      </c>
      <c r="F25" s="8"/>
      <c r="G25" s="135">
        <v>0</v>
      </c>
      <c r="H25" s="135">
        <v>0</v>
      </c>
      <c r="I25" s="135">
        <v>0</v>
      </c>
      <c r="J25" s="135">
        <v>0</v>
      </c>
    </row>
    <row r="26" spans="1:10" x14ac:dyDescent="0.25">
      <c r="A26" s="36" t="s">
        <v>97</v>
      </c>
      <c r="B26" s="38"/>
      <c r="C26" s="38"/>
      <c r="D26" s="139">
        <v>0</v>
      </c>
      <c r="E26" s="8">
        <f>D26*1</f>
        <v>0</v>
      </c>
      <c r="F26" s="10"/>
      <c r="G26" s="135">
        <v>0</v>
      </c>
      <c r="H26" s="135">
        <v>0</v>
      </c>
      <c r="I26" s="135">
        <v>0</v>
      </c>
      <c r="J26" s="135">
        <v>0</v>
      </c>
    </row>
    <row r="27" spans="1:10" x14ac:dyDescent="0.25">
      <c r="A27" s="21" t="s">
        <v>104</v>
      </c>
      <c r="B27" s="21"/>
      <c r="C27" s="21"/>
      <c r="D27" s="8">
        <f>D25*D26</f>
        <v>0</v>
      </c>
      <c r="E27" s="8">
        <f t="shared" ref="E27" si="14">E25*E26</f>
        <v>0</v>
      </c>
      <c r="F27" s="53">
        <f>SUM(D27:E27)</f>
        <v>0</v>
      </c>
      <c r="G27" s="67">
        <f t="shared" ref="G27" si="15">G25*G26</f>
        <v>0</v>
      </c>
      <c r="H27" s="67">
        <f t="shared" ref="H27" si="16">H25*H26</f>
        <v>0</v>
      </c>
      <c r="I27" s="67">
        <f t="shared" ref="I27:J27" si="17">I25*I26</f>
        <v>0</v>
      </c>
      <c r="J27" s="67">
        <f t="shared" si="17"/>
        <v>0</v>
      </c>
    </row>
    <row r="28" spans="1:10" x14ac:dyDescent="0.25">
      <c r="A28" s="14"/>
      <c r="B28" s="14"/>
      <c r="C28" s="14"/>
      <c r="D28" s="14"/>
      <c r="E28" s="14"/>
      <c r="F28" s="14"/>
      <c r="G28" s="73"/>
      <c r="H28" s="73"/>
      <c r="I28" s="73"/>
      <c r="J28" s="73"/>
    </row>
    <row r="29" spans="1:10" x14ac:dyDescent="0.25">
      <c r="A29" s="8" t="s">
        <v>105</v>
      </c>
      <c r="B29" s="8"/>
      <c r="C29" s="8"/>
      <c r="D29" s="8">
        <f t="shared" ref="D29:H29" si="18">SUM(D13+D17+D21+D25)</f>
        <v>0</v>
      </c>
      <c r="E29" s="8">
        <f t="shared" si="18"/>
        <v>0</v>
      </c>
      <c r="F29" s="8"/>
      <c r="G29" s="8">
        <f t="shared" si="18"/>
        <v>0</v>
      </c>
      <c r="H29" s="8">
        <f t="shared" si="18"/>
        <v>0</v>
      </c>
      <c r="I29" s="8">
        <f t="shared" ref="I29:J29" si="19">SUM(I13+I17+I21+I25)</f>
        <v>0</v>
      </c>
      <c r="J29" s="8">
        <f t="shared" si="19"/>
        <v>0</v>
      </c>
    </row>
    <row r="30" spans="1:10" x14ac:dyDescent="0.25">
      <c r="A30" s="37" t="s">
        <v>106</v>
      </c>
      <c r="B30" s="302"/>
      <c r="C30" s="302"/>
      <c r="D30" s="7">
        <f t="shared" ref="D30:E30" si="20">SUM(D15+D19+D23+D27)</f>
        <v>0</v>
      </c>
      <c r="E30" s="7">
        <f t="shared" si="20"/>
        <v>0</v>
      </c>
      <c r="F30" s="12">
        <f>SUM(D30:E30)</f>
        <v>0</v>
      </c>
      <c r="G30" s="93">
        <f>SUM(G15+G19+G23+G27)</f>
        <v>0</v>
      </c>
      <c r="H30" s="93">
        <f>SUM(H15+H19+H23+H27)</f>
        <v>0</v>
      </c>
      <c r="I30" s="93">
        <f t="shared" ref="I30:J30" si="21">SUM(I15+I19+I23+I27)</f>
        <v>0</v>
      </c>
      <c r="J30" s="93">
        <f t="shared" si="21"/>
        <v>0</v>
      </c>
    </row>
    <row r="31" spans="1:10" x14ac:dyDescent="0.25">
      <c r="G31" s="73"/>
      <c r="H31" s="73"/>
      <c r="I31" s="73"/>
      <c r="J31" s="73"/>
    </row>
    <row r="32" spans="1:10" x14ac:dyDescent="0.25">
      <c r="A32" s="1" t="s">
        <v>107</v>
      </c>
      <c r="B32" s="1"/>
      <c r="C32" s="1"/>
      <c r="G32" s="73"/>
      <c r="H32" s="73"/>
      <c r="I32" s="73"/>
      <c r="J32" s="73"/>
    </row>
    <row r="33" spans="1:11" x14ac:dyDescent="0.25">
      <c r="A33" s="21" t="s">
        <v>108</v>
      </c>
      <c r="B33" s="21"/>
      <c r="C33" s="21"/>
      <c r="D33" s="136">
        <v>0</v>
      </c>
      <c r="E33" s="136">
        <v>0</v>
      </c>
      <c r="F33" s="8">
        <f>SUM(D33:E33)</f>
        <v>0</v>
      </c>
      <c r="G33" s="135">
        <f>F33*(1+$J$80)</f>
        <v>0</v>
      </c>
      <c r="H33" s="135">
        <f>G33*(1+$J$80)</f>
        <v>0</v>
      </c>
      <c r="I33" s="135">
        <f>H33*(1+$J$80)</f>
        <v>0</v>
      </c>
      <c r="J33" s="135">
        <f>I33*(1+$J$80)</f>
        <v>0</v>
      </c>
      <c r="K33" t="s">
        <v>109</v>
      </c>
    </row>
    <row r="34" spans="1:11" x14ac:dyDescent="0.25">
      <c r="A34" s="19" t="s">
        <v>110</v>
      </c>
      <c r="B34" s="19"/>
      <c r="C34" s="19"/>
      <c r="D34" s="137">
        <v>0</v>
      </c>
      <c r="E34" s="137">
        <v>0</v>
      </c>
      <c r="F34" s="8">
        <f>SUM(D34:E34)</f>
        <v>0</v>
      </c>
      <c r="G34" s="135">
        <f>F34*1</f>
        <v>0</v>
      </c>
      <c r="H34" s="135">
        <f>G34*1</f>
        <v>0</v>
      </c>
      <c r="I34" s="135">
        <f t="shared" ref="I34:J34" si="22">H34*1</f>
        <v>0</v>
      </c>
      <c r="J34" s="135">
        <f t="shared" si="22"/>
        <v>0</v>
      </c>
      <c r="K34" t="s">
        <v>111</v>
      </c>
    </row>
    <row r="35" spans="1:11" x14ac:dyDescent="0.25">
      <c r="A35" s="19" t="s">
        <v>112</v>
      </c>
      <c r="B35" s="19"/>
      <c r="C35" s="19"/>
      <c r="D35" s="137">
        <v>0</v>
      </c>
      <c r="E35" s="137">
        <v>0</v>
      </c>
      <c r="F35" s="8">
        <f>SUM(D35:E35)</f>
        <v>0</v>
      </c>
      <c r="G35" s="135">
        <f>F35*1</f>
        <v>0</v>
      </c>
      <c r="H35" s="135">
        <f>G35*1</f>
        <v>0</v>
      </c>
      <c r="I35" s="135">
        <f t="shared" ref="I35:J35" si="23">H35*1</f>
        <v>0</v>
      </c>
      <c r="J35" s="135">
        <f t="shared" si="23"/>
        <v>0</v>
      </c>
    </row>
    <row r="36" spans="1:11" x14ac:dyDescent="0.25">
      <c r="A36" s="19" t="s">
        <v>113</v>
      </c>
      <c r="B36" s="19"/>
      <c r="C36" s="19"/>
      <c r="D36" s="137">
        <v>0</v>
      </c>
      <c r="E36" s="137">
        <v>0</v>
      </c>
      <c r="F36" s="8">
        <f>SUM(D36:E36)</f>
        <v>0</v>
      </c>
      <c r="G36" s="135">
        <f>F36*(1+$J$80)</f>
        <v>0</v>
      </c>
      <c r="H36" s="135">
        <f>G36*(1+$J$80)</f>
        <v>0</v>
      </c>
      <c r="I36" s="135">
        <f>H36*(1+$J$80)</f>
        <v>0</v>
      </c>
      <c r="J36" s="135">
        <f>I36*(1+$J$80)</f>
        <v>0</v>
      </c>
      <c r="K36" t="s">
        <v>109</v>
      </c>
    </row>
    <row r="37" spans="1:11" x14ac:dyDescent="0.25">
      <c r="A37" s="20" t="s">
        <v>114</v>
      </c>
      <c r="B37" s="20"/>
      <c r="C37" s="20"/>
      <c r="D37" s="139">
        <v>0</v>
      </c>
      <c r="E37" s="139">
        <v>0</v>
      </c>
      <c r="F37" s="8">
        <f>SUM(D37:E37)</f>
        <v>0</v>
      </c>
      <c r="G37" s="135">
        <f>F37*1</f>
        <v>0</v>
      </c>
      <c r="H37" s="135">
        <f>G37*1</f>
        <v>0</v>
      </c>
      <c r="I37" s="135">
        <f t="shared" ref="I37:J37" si="24">H37*1</f>
        <v>0</v>
      </c>
      <c r="J37" s="135">
        <f t="shared" si="24"/>
        <v>0</v>
      </c>
    </row>
    <row r="38" spans="1:11" x14ac:dyDescent="0.25">
      <c r="A38" s="33" t="s">
        <v>115</v>
      </c>
      <c r="B38" s="303"/>
      <c r="C38" s="303"/>
      <c r="D38" s="7">
        <f>SUM(D33:D37)</f>
        <v>0</v>
      </c>
      <c r="E38" s="7">
        <f t="shared" ref="E38" si="25">SUM(E33:E37)</f>
        <v>0</v>
      </c>
      <c r="F38" s="12">
        <f>SUM(F33:F37)</f>
        <v>0</v>
      </c>
      <c r="G38" s="93">
        <f t="shared" ref="G38:H38" si="26">SUM(G33:G37)</f>
        <v>0</v>
      </c>
      <c r="H38" s="93">
        <f t="shared" si="26"/>
        <v>0</v>
      </c>
      <c r="I38" s="93">
        <f t="shared" ref="I38:J38" si="27">SUM(I33:I37)</f>
        <v>0</v>
      </c>
      <c r="J38" s="93">
        <f t="shared" si="27"/>
        <v>0</v>
      </c>
    </row>
    <row r="39" spans="1:11" x14ac:dyDescent="0.25">
      <c r="G39" s="73"/>
      <c r="H39" s="73"/>
      <c r="I39" s="73"/>
      <c r="J39" s="73"/>
    </row>
    <row r="40" spans="1:11" x14ac:dyDescent="0.25">
      <c r="A40" s="1" t="s">
        <v>116</v>
      </c>
      <c r="B40" s="1"/>
      <c r="C40" s="1"/>
      <c r="G40" s="73"/>
      <c r="H40" s="73"/>
      <c r="I40" s="73"/>
      <c r="J40" s="73"/>
    </row>
    <row r="41" spans="1:11" x14ac:dyDescent="0.25">
      <c r="A41" s="140" t="s">
        <v>117</v>
      </c>
      <c r="B41" s="140"/>
      <c r="C41" s="140"/>
      <c r="D41" s="136">
        <f>(D21+D25)</f>
        <v>0</v>
      </c>
      <c r="E41" s="136">
        <f t="shared" ref="E41" si="28">(E21+E25)</f>
        <v>0</v>
      </c>
      <c r="F41" s="8"/>
      <c r="G41" s="141">
        <f t="shared" ref="G41" si="29">(G21+G25)</f>
        <v>0</v>
      </c>
      <c r="H41" s="135">
        <f>(H21+H25)</f>
        <v>0</v>
      </c>
      <c r="I41" s="141">
        <f t="shared" ref="I41:J41" si="30">(I21+I25)</f>
        <v>0</v>
      </c>
      <c r="J41" s="141">
        <f t="shared" si="30"/>
        <v>0</v>
      </c>
    </row>
    <row r="42" spans="1:11" x14ac:dyDescent="0.25">
      <c r="A42" t="s">
        <v>118</v>
      </c>
      <c r="D42" s="139">
        <v>0</v>
      </c>
      <c r="E42">
        <f>D42*1</f>
        <v>0</v>
      </c>
      <c r="F42" s="10"/>
      <c r="G42" s="135">
        <f>+D42+E42</f>
        <v>0</v>
      </c>
      <c r="H42" s="298">
        <f>G42*1</f>
        <v>0</v>
      </c>
      <c r="I42" s="298">
        <f t="shared" ref="I42:J42" si="31">H42*1</f>
        <v>0</v>
      </c>
      <c r="J42" s="298">
        <f t="shared" si="31"/>
        <v>0</v>
      </c>
    </row>
    <row r="43" spans="1:11" x14ac:dyDescent="0.25">
      <c r="A43" s="23" t="s">
        <v>119</v>
      </c>
      <c r="B43" s="304"/>
      <c r="C43" s="304"/>
      <c r="D43" s="7">
        <f>(D41)*D42</f>
        <v>0</v>
      </c>
      <c r="E43" s="7">
        <f t="shared" ref="E43:H43" si="32">(E41)*E42</f>
        <v>0</v>
      </c>
      <c r="F43" s="12">
        <f>SUM(D43:E43)</f>
        <v>0</v>
      </c>
      <c r="G43" s="7">
        <f t="shared" si="32"/>
        <v>0</v>
      </c>
      <c r="H43" s="7">
        <f t="shared" si="32"/>
        <v>0</v>
      </c>
      <c r="I43" s="7">
        <f t="shared" ref="I43:J43" si="33">(I41)*I42</f>
        <v>0</v>
      </c>
      <c r="J43" s="7">
        <f t="shared" si="33"/>
        <v>0</v>
      </c>
      <c r="K43" t="s">
        <v>120</v>
      </c>
    </row>
    <row r="44" spans="1:11" x14ac:dyDescent="0.25">
      <c r="G44" s="73"/>
      <c r="H44" s="73"/>
      <c r="I44" s="73"/>
      <c r="J44" s="73"/>
    </row>
    <row r="45" spans="1:11" x14ac:dyDescent="0.25">
      <c r="A45" s="22" t="s">
        <v>121</v>
      </c>
      <c r="B45" s="22"/>
      <c r="C45" s="22"/>
      <c r="D45" s="16"/>
      <c r="E45" s="16"/>
      <c r="F45" s="16"/>
      <c r="G45" s="73"/>
      <c r="H45" s="73"/>
      <c r="I45" s="73"/>
      <c r="J45" s="73"/>
    </row>
    <row r="46" spans="1:11" x14ac:dyDescent="0.25">
      <c r="A46" s="21" t="s">
        <v>122</v>
      </c>
      <c r="B46" s="21"/>
      <c r="C46" s="21"/>
      <c r="D46" s="136">
        <v>0</v>
      </c>
      <c r="E46" s="136">
        <v>0</v>
      </c>
      <c r="F46" s="8">
        <f>SUM(D46:E46)</f>
        <v>0</v>
      </c>
      <c r="G46" s="225">
        <f t="shared" ref="G46:J48" si="34">F46*(1+$J$80)</f>
        <v>0</v>
      </c>
      <c r="H46" s="225">
        <f t="shared" si="34"/>
        <v>0</v>
      </c>
      <c r="I46" s="225">
        <f t="shared" si="34"/>
        <v>0</v>
      </c>
      <c r="J46" s="225">
        <f t="shared" si="34"/>
        <v>0</v>
      </c>
      <c r="K46" t="s">
        <v>109</v>
      </c>
    </row>
    <row r="47" spans="1:11" x14ac:dyDescent="0.25">
      <c r="A47" s="19" t="s">
        <v>123</v>
      </c>
      <c r="B47" s="19"/>
      <c r="C47" s="19"/>
      <c r="D47" s="137">
        <v>0</v>
      </c>
      <c r="E47" s="137">
        <v>0</v>
      </c>
      <c r="F47" s="8">
        <f>SUM(D47:E47)</f>
        <v>0</v>
      </c>
      <c r="G47" s="225">
        <f t="shared" si="34"/>
        <v>0</v>
      </c>
      <c r="H47" s="225">
        <f t="shared" si="34"/>
        <v>0</v>
      </c>
      <c r="I47" s="225">
        <f t="shared" si="34"/>
        <v>0</v>
      </c>
      <c r="J47" s="225">
        <f t="shared" si="34"/>
        <v>0</v>
      </c>
      <c r="K47" t="s">
        <v>109</v>
      </c>
    </row>
    <row r="48" spans="1:11" x14ac:dyDescent="0.25">
      <c r="A48" s="20" t="s">
        <v>124</v>
      </c>
      <c r="B48" s="19"/>
      <c r="C48" s="19"/>
      <c r="D48" s="137">
        <v>0</v>
      </c>
      <c r="E48" s="137">
        <v>0</v>
      </c>
      <c r="F48" s="8">
        <f>SUM(D48:E48)</f>
        <v>0</v>
      </c>
      <c r="G48" s="225">
        <f t="shared" si="34"/>
        <v>0</v>
      </c>
      <c r="H48" s="225">
        <f t="shared" si="34"/>
        <v>0</v>
      </c>
      <c r="I48" s="225">
        <f t="shared" si="34"/>
        <v>0</v>
      </c>
      <c r="J48" s="225">
        <f t="shared" si="34"/>
        <v>0</v>
      </c>
      <c r="K48" t="s">
        <v>109</v>
      </c>
    </row>
    <row r="49" spans="1:11" x14ac:dyDescent="0.25">
      <c r="A49" s="33" t="s">
        <v>125</v>
      </c>
      <c r="B49" s="303"/>
      <c r="C49" s="303"/>
      <c r="D49" s="7">
        <f>SUM(D46:D48)</f>
        <v>0</v>
      </c>
      <c r="E49" s="7">
        <f t="shared" ref="E49" si="35">SUM(E46:E48)</f>
        <v>0</v>
      </c>
      <c r="F49" s="12">
        <f>SUM(F45:F48)</f>
        <v>0</v>
      </c>
      <c r="G49" s="93">
        <f t="shared" ref="G49:H49" si="36">SUM(G45:G48)</f>
        <v>0</v>
      </c>
      <c r="H49" s="93">
        <f t="shared" si="36"/>
        <v>0</v>
      </c>
      <c r="I49" s="93">
        <f t="shared" ref="I49:J49" si="37">SUM(I45:I48)</f>
        <v>0</v>
      </c>
      <c r="J49" s="93">
        <f t="shared" si="37"/>
        <v>0</v>
      </c>
    </row>
    <row r="50" spans="1:11" x14ac:dyDescent="0.25">
      <c r="A50" s="15"/>
      <c r="B50" s="15"/>
      <c r="C50" s="15"/>
      <c r="G50" s="73"/>
      <c r="H50" s="73"/>
      <c r="I50" s="73"/>
      <c r="J50" s="73"/>
    </row>
    <row r="51" spans="1:11" x14ac:dyDescent="0.25">
      <c r="A51" s="1" t="s">
        <v>126</v>
      </c>
      <c r="B51" s="1"/>
      <c r="C51" s="1"/>
      <c r="G51" s="73"/>
      <c r="H51" s="73"/>
      <c r="I51" s="73"/>
      <c r="J51" s="73"/>
    </row>
    <row r="52" spans="1:11" x14ac:dyDescent="0.25">
      <c r="A52" s="21" t="s">
        <v>127</v>
      </c>
      <c r="B52" s="21"/>
      <c r="C52" s="21"/>
      <c r="D52" s="136">
        <v>0</v>
      </c>
      <c r="E52" s="136">
        <v>0</v>
      </c>
      <c r="F52" s="8">
        <f>SUM(D52:E52)</f>
        <v>0</v>
      </c>
      <c r="G52" s="225">
        <f>F52*1</f>
        <v>0</v>
      </c>
      <c r="H52" s="225">
        <f t="shared" ref="H52:J52" si="38">G52*1</f>
        <v>0</v>
      </c>
      <c r="I52" s="225">
        <f t="shared" si="38"/>
        <v>0</v>
      </c>
      <c r="J52" s="225">
        <f t="shared" si="38"/>
        <v>0</v>
      </c>
    </row>
    <row r="53" spans="1:11" x14ac:dyDescent="0.25">
      <c r="A53" s="20" t="s">
        <v>128</v>
      </c>
      <c r="B53" s="19"/>
      <c r="C53" s="19"/>
      <c r="D53" s="137">
        <v>0</v>
      </c>
      <c r="E53" s="137">
        <v>0</v>
      </c>
      <c r="F53" s="8">
        <f>SUM(D53:E53)</f>
        <v>0</v>
      </c>
      <c r="G53" s="225">
        <f>F53*1</f>
        <v>0</v>
      </c>
      <c r="H53" s="225">
        <f t="shared" ref="H53:J53" si="39">G53*1</f>
        <v>0</v>
      </c>
      <c r="I53" s="225">
        <f t="shared" si="39"/>
        <v>0</v>
      </c>
      <c r="J53" s="225">
        <f t="shared" si="39"/>
        <v>0</v>
      </c>
    </row>
    <row r="54" spans="1:11" x14ac:dyDescent="0.25">
      <c r="A54" s="33" t="s">
        <v>129</v>
      </c>
      <c r="B54" s="303"/>
      <c r="C54" s="303"/>
      <c r="D54" s="7">
        <f>SUM(D52:D53)</f>
        <v>0</v>
      </c>
      <c r="E54" s="7">
        <f t="shared" ref="E54" si="40">SUM(E52:E53)</f>
        <v>0</v>
      </c>
      <c r="F54" s="12">
        <f>SUM(F52:F53)</f>
        <v>0</v>
      </c>
      <c r="G54" s="93">
        <f t="shared" ref="G54:H54" si="41">SUM(G52:G53)</f>
        <v>0</v>
      </c>
      <c r="H54" s="93">
        <f t="shared" si="41"/>
        <v>0</v>
      </c>
      <c r="I54" s="93">
        <f t="shared" ref="I54:J54" si="42">SUM(I52:I53)</f>
        <v>0</v>
      </c>
      <c r="J54" s="93">
        <f t="shared" si="42"/>
        <v>0</v>
      </c>
    </row>
    <row r="55" spans="1:11" x14ac:dyDescent="0.25">
      <c r="G55" s="73"/>
      <c r="H55" s="73"/>
      <c r="I55" s="73"/>
      <c r="J55" s="73"/>
    </row>
    <row r="56" spans="1:11" x14ac:dyDescent="0.25">
      <c r="A56" s="1" t="s">
        <v>130</v>
      </c>
      <c r="B56" s="1"/>
      <c r="C56" s="1"/>
      <c r="G56" s="73"/>
      <c r="H56" s="73"/>
      <c r="I56" s="73"/>
      <c r="J56" s="73"/>
    </row>
    <row r="57" spans="1:11" ht="30" x14ac:dyDescent="0.25">
      <c r="A57" s="175" t="s">
        <v>131</v>
      </c>
      <c r="B57" s="175"/>
      <c r="C57" s="175"/>
      <c r="D57" s="136">
        <v>0</v>
      </c>
      <c r="E57" s="136">
        <v>0</v>
      </c>
      <c r="F57" s="7">
        <f t="shared" ref="F57:F62" si="43">SUM(D57:E57)</f>
        <v>0</v>
      </c>
      <c r="G57" s="135">
        <v>0</v>
      </c>
      <c r="H57" s="135">
        <v>0</v>
      </c>
      <c r="I57" s="135">
        <v>0</v>
      </c>
      <c r="J57" s="135">
        <v>0</v>
      </c>
    </row>
    <row r="58" spans="1:11" ht="16.5" customHeight="1" x14ac:dyDescent="0.25">
      <c r="A58" s="176" t="s">
        <v>132</v>
      </c>
      <c r="B58" s="176"/>
      <c r="C58" s="176"/>
      <c r="D58" s="137">
        <v>0</v>
      </c>
      <c r="E58" s="137"/>
      <c r="F58" s="7">
        <f t="shared" si="43"/>
        <v>0</v>
      </c>
      <c r="G58" s="225"/>
      <c r="H58" s="225"/>
      <c r="I58" s="225"/>
      <c r="J58" s="225"/>
    </row>
    <row r="59" spans="1:11" x14ac:dyDescent="0.25">
      <c r="A59" t="s">
        <v>133</v>
      </c>
      <c r="D59" s="137">
        <v>0</v>
      </c>
      <c r="E59" s="9"/>
      <c r="F59" s="7">
        <f t="shared" si="43"/>
        <v>0</v>
      </c>
      <c r="G59" s="67"/>
      <c r="H59" s="67"/>
      <c r="I59" s="67"/>
      <c r="J59" s="67"/>
    </row>
    <row r="60" spans="1:11" x14ac:dyDescent="0.25">
      <c r="A60" s="9" t="s">
        <v>134</v>
      </c>
      <c r="B60" s="9"/>
      <c r="C60" s="9"/>
      <c r="D60" s="137">
        <v>0</v>
      </c>
      <c r="E60" s="137">
        <v>0</v>
      </c>
      <c r="F60" s="7">
        <f t="shared" si="43"/>
        <v>0</v>
      </c>
      <c r="G60" s="135">
        <v>0</v>
      </c>
      <c r="H60" s="135">
        <v>0</v>
      </c>
      <c r="I60" s="135">
        <v>0</v>
      </c>
      <c r="J60" s="135">
        <v>0</v>
      </c>
    </row>
    <row r="61" spans="1:11" x14ac:dyDescent="0.25">
      <c r="A61" s="19" t="s">
        <v>135</v>
      </c>
      <c r="B61" s="19"/>
      <c r="C61" s="19"/>
      <c r="D61" s="137">
        <v>0</v>
      </c>
      <c r="E61" s="137">
        <v>0</v>
      </c>
      <c r="F61" s="7">
        <f t="shared" si="43"/>
        <v>0</v>
      </c>
      <c r="G61" s="135">
        <v>0</v>
      </c>
      <c r="H61" s="135">
        <v>0</v>
      </c>
      <c r="I61" s="135">
        <v>0</v>
      </c>
      <c r="J61" s="135">
        <v>0</v>
      </c>
    </row>
    <row r="62" spans="1:11" x14ac:dyDescent="0.25">
      <c r="A62" s="19" t="s">
        <v>136</v>
      </c>
      <c r="B62" s="19"/>
      <c r="C62" s="19"/>
      <c r="D62" s="137">
        <v>0</v>
      </c>
      <c r="E62" s="137">
        <v>0</v>
      </c>
      <c r="F62" s="7">
        <f t="shared" si="43"/>
        <v>0</v>
      </c>
      <c r="G62" s="299">
        <f>F62*(1+$J$80)</f>
        <v>0</v>
      </c>
      <c r="H62" s="299">
        <f>G62*(1+$J$80)</f>
        <v>0</v>
      </c>
      <c r="I62" s="299">
        <f>H62*(1+$J$80)</f>
        <v>0</v>
      </c>
      <c r="J62" s="299">
        <f>I62*(1+$J$80)</f>
        <v>0</v>
      </c>
      <c r="K62" t="s">
        <v>109</v>
      </c>
    </row>
    <row r="63" spans="1:11" x14ac:dyDescent="0.25">
      <c r="A63" s="10"/>
      <c r="B63" s="9"/>
      <c r="C63" s="9"/>
      <c r="D63" s="137"/>
      <c r="E63" s="137"/>
      <c r="F63" s="7"/>
      <c r="G63" s="246"/>
      <c r="H63" s="246"/>
      <c r="I63" s="246"/>
      <c r="J63" s="246"/>
    </row>
    <row r="64" spans="1:11" x14ac:dyDescent="0.25">
      <c r="A64" s="33" t="s">
        <v>137</v>
      </c>
      <c r="B64" s="303"/>
      <c r="C64" s="303"/>
      <c r="D64" s="7">
        <f>SUM(D57:D63)</f>
        <v>0</v>
      </c>
      <c r="E64" s="7">
        <f t="shared" ref="E64:F64" si="44">SUM(E57:E63)</f>
        <v>0</v>
      </c>
      <c r="F64" s="7">
        <f t="shared" si="44"/>
        <v>0</v>
      </c>
      <c r="G64" s="93">
        <f>SUM(G57:G63)</f>
        <v>0</v>
      </c>
      <c r="H64" s="93">
        <f t="shared" ref="H64:J64" si="45">SUM(H57:H63)</f>
        <v>0</v>
      </c>
      <c r="I64" s="93">
        <f t="shared" si="45"/>
        <v>0</v>
      </c>
      <c r="J64" s="93">
        <f t="shared" si="45"/>
        <v>0</v>
      </c>
    </row>
    <row r="65" spans="1:10" ht="15.75" thickBot="1" x14ac:dyDescent="0.3">
      <c r="G65" s="40"/>
      <c r="H65" s="40"/>
      <c r="I65" s="40"/>
      <c r="J65" s="40"/>
    </row>
    <row r="66" spans="1:10" ht="19.5" thickBot="1" x14ac:dyDescent="0.35">
      <c r="A66" s="224" t="s">
        <v>138</v>
      </c>
      <c r="B66" s="328">
        <v>0</v>
      </c>
      <c r="C66" s="328">
        <v>0</v>
      </c>
      <c r="D66" s="17">
        <f t="shared" ref="D66:J66" si="46">SUM(D10+D30+D38+D43+D49+D54+D64)</f>
        <v>0</v>
      </c>
      <c r="E66" s="17">
        <f t="shared" si="46"/>
        <v>0</v>
      </c>
      <c r="F66" s="17">
        <f t="shared" si="46"/>
        <v>0</v>
      </c>
      <c r="G66" s="94">
        <f t="shared" si="46"/>
        <v>0</v>
      </c>
      <c r="H66" s="94">
        <f t="shared" si="46"/>
        <v>0</v>
      </c>
      <c r="I66" s="94">
        <f t="shared" si="46"/>
        <v>0</v>
      </c>
      <c r="J66" s="94">
        <f t="shared" si="46"/>
        <v>0</v>
      </c>
    </row>
    <row r="68" spans="1:10" x14ac:dyDescent="0.25">
      <c r="F68" t="s">
        <v>139</v>
      </c>
    </row>
    <row r="70" spans="1:10" ht="18.75" x14ac:dyDescent="0.3">
      <c r="F70" s="122" t="s">
        <v>140</v>
      </c>
      <c r="G70" s="297"/>
      <c r="H70" s="297"/>
      <c r="I70" s="297"/>
      <c r="J70" s="96"/>
    </row>
    <row r="71" spans="1:10" x14ac:dyDescent="0.25">
      <c r="F71" s="97"/>
      <c r="J71" s="98"/>
    </row>
    <row r="72" spans="1:10" x14ac:dyDescent="0.25">
      <c r="F72" s="97" t="s">
        <v>141</v>
      </c>
      <c r="J72" s="98"/>
    </row>
    <row r="73" spans="1:10" x14ac:dyDescent="0.25">
      <c r="F73" s="97"/>
      <c r="J73" s="98"/>
    </row>
    <row r="74" spans="1:10" x14ac:dyDescent="0.25">
      <c r="F74" s="97" t="s">
        <v>142</v>
      </c>
      <c r="J74" s="98"/>
    </row>
    <row r="75" spans="1:10" x14ac:dyDescent="0.25">
      <c r="F75" s="99" t="s">
        <v>143</v>
      </c>
      <c r="J75" s="98"/>
    </row>
    <row r="76" spans="1:10" x14ac:dyDescent="0.25">
      <c r="F76" s="99" t="s">
        <v>144</v>
      </c>
      <c r="J76" s="98"/>
    </row>
    <row r="77" spans="1:10" x14ac:dyDescent="0.25">
      <c r="F77" s="99" t="s">
        <v>145</v>
      </c>
      <c r="J77" s="98"/>
    </row>
    <row r="78" spans="1:10" x14ac:dyDescent="0.25">
      <c r="F78" s="97"/>
      <c r="J78" s="98"/>
    </row>
    <row r="79" spans="1:10" ht="15.75" x14ac:dyDescent="0.25">
      <c r="F79" s="160" t="s">
        <v>146</v>
      </c>
      <c r="J79" s="98"/>
    </row>
    <row r="80" spans="1:10" ht="15.75" x14ac:dyDescent="0.25">
      <c r="F80" s="97" t="s">
        <v>147</v>
      </c>
      <c r="J80" s="164">
        <v>0.04</v>
      </c>
    </row>
    <row r="81" spans="5:10" x14ac:dyDescent="0.25">
      <c r="E81" s="95"/>
      <c r="F81" s="99" t="s">
        <v>148</v>
      </c>
      <c r="J81" s="100"/>
    </row>
    <row r="82" spans="5:10" x14ac:dyDescent="0.25">
      <c r="E82" s="95"/>
      <c r="F82" s="99" t="s">
        <v>149</v>
      </c>
      <c r="J82" s="100"/>
    </row>
    <row r="83" spans="5:10" x14ac:dyDescent="0.25">
      <c r="F83" s="99" t="s">
        <v>150</v>
      </c>
      <c r="J83" s="98"/>
    </row>
    <row r="84" spans="5:10" x14ac:dyDescent="0.25">
      <c r="E84" s="95"/>
      <c r="F84" s="99" t="s">
        <v>151</v>
      </c>
      <c r="J84" s="100"/>
    </row>
    <row r="85" spans="5:10" x14ac:dyDescent="0.25">
      <c r="F85" s="89"/>
      <c r="G85" s="16"/>
      <c r="H85" s="16"/>
      <c r="I85" s="16"/>
      <c r="J85" s="159"/>
    </row>
  </sheetData>
  <mergeCells count="3">
    <mergeCell ref="A5:E5"/>
    <mergeCell ref="D12:F12"/>
    <mergeCell ref="B2:C2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6"/>
  <sheetViews>
    <sheetView topLeftCell="B1" zoomScale="69" zoomScaleNormal="69" workbookViewId="0">
      <pane ySplit="4" topLeftCell="A5" activePane="bottomLeft" state="frozen"/>
      <selection activeCell="A3" sqref="A3"/>
      <selection pane="bottomLeft" activeCell="B3" sqref="A3:XFD3"/>
    </sheetView>
  </sheetViews>
  <sheetFormatPr defaultRowHeight="15" x14ac:dyDescent="0.25"/>
  <cols>
    <col min="1" max="1" width="25" customWidth="1"/>
    <col min="2" max="2" width="13" customWidth="1"/>
    <col min="3" max="3" width="18" customWidth="1"/>
    <col min="4" max="5" width="20" customWidth="1"/>
    <col min="6" max="6" width="15.5703125" customWidth="1"/>
    <col min="7" max="7" width="12.5703125" customWidth="1"/>
    <col min="8" max="10" width="12.85546875" customWidth="1"/>
    <col min="11" max="11" width="5.85546875" customWidth="1"/>
    <col min="12" max="12" width="19.42578125" bestFit="1" customWidth="1"/>
    <col min="13" max="13" width="18.140625" customWidth="1"/>
    <col min="14" max="14" width="14.28515625" customWidth="1"/>
    <col min="15" max="15" width="13.7109375" customWidth="1"/>
    <col min="16" max="16" width="15.140625" customWidth="1"/>
    <col min="17" max="17" width="14.140625" customWidth="1"/>
    <col min="18" max="18" width="12.5703125" customWidth="1"/>
    <col min="20" max="21" width="15.42578125" customWidth="1"/>
    <col min="22" max="23" width="15.5703125" customWidth="1"/>
    <col min="24" max="24" width="15.7109375" customWidth="1"/>
    <col min="25" max="25" width="14.5703125" customWidth="1"/>
    <col min="26" max="26" width="15.5703125" customWidth="1"/>
  </cols>
  <sheetData>
    <row r="1" spans="1:26" ht="18.75" x14ac:dyDescent="0.3">
      <c r="A1" s="170" t="s">
        <v>152</v>
      </c>
      <c r="B1" s="2"/>
      <c r="C1" s="2"/>
      <c r="D1" s="2" t="str">
        <f>'Sales &amp; Grossmargin forecast '!B1</f>
        <v>Drafted in UGX</v>
      </c>
      <c r="E1" s="2"/>
      <c r="F1" s="307"/>
      <c r="H1" s="1"/>
      <c r="I1" s="1"/>
      <c r="J1" s="1"/>
      <c r="L1" s="18" t="s">
        <v>153</v>
      </c>
      <c r="V1" s="18" t="s">
        <v>154</v>
      </c>
    </row>
    <row r="2" spans="1:26" ht="15.75" x14ac:dyDescent="0.25">
      <c r="A2" s="2"/>
      <c r="B2" s="2"/>
      <c r="C2" s="2"/>
      <c r="D2" s="398" t="s">
        <v>155</v>
      </c>
      <c r="E2" s="399"/>
      <c r="F2" s="1" t="s">
        <v>88</v>
      </c>
      <c r="L2" s="398" t="s">
        <v>155</v>
      </c>
      <c r="M2" s="399"/>
      <c r="N2" s="1" t="s">
        <v>88</v>
      </c>
      <c r="T2" s="398" t="s">
        <v>155</v>
      </c>
      <c r="U2" s="399"/>
      <c r="V2" s="1" t="s">
        <v>88</v>
      </c>
    </row>
    <row r="3" spans="1:26" ht="27.75" customHeight="1" x14ac:dyDescent="0.25">
      <c r="A3" s="2"/>
      <c r="B3" s="2"/>
      <c r="C3" s="2"/>
      <c r="D3" s="351"/>
      <c r="E3" s="352"/>
      <c r="F3" s="12" t="s">
        <v>156</v>
      </c>
      <c r="L3" s="357" t="s">
        <v>420</v>
      </c>
      <c r="M3" s="352" t="s">
        <v>157</v>
      </c>
      <c r="N3" s="1"/>
      <c r="T3" s="398" t="s">
        <v>158</v>
      </c>
      <c r="U3" s="401"/>
      <c r="V3" s="1"/>
    </row>
    <row r="4" spans="1:26" ht="65.25" customHeight="1" x14ac:dyDescent="0.25">
      <c r="A4" s="3"/>
      <c r="B4" s="356" t="s">
        <v>159</v>
      </c>
      <c r="C4" s="355" t="s">
        <v>160</v>
      </c>
      <c r="D4" s="423">
        <f>'Sales &amp; Grossmargin forecast '!C3</f>
        <v>2022</v>
      </c>
      <c r="E4" s="310">
        <f t="shared" ref="E4:J4" si="0">D4+1</f>
        <v>2023</v>
      </c>
      <c r="F4" s="348">
        <f t="shared" si="0"/>
        <v>2024</v>
      </c>
      <c r="G4" s="349">
        <f t="shared" si="0"/>
        <v>2025</v>
      </c>
      <c r="H4" s="349">
        <f t="shared" si="0"/>
        <v>2026</v>
      </c>
      <c r="I4" s="349">
        <f t="shared" si="0"/>
        <v>2027</v>
      </c>
      <c r="J4" s="349">
        <f t="shared" si="0"/>
        <v>2028</v>
      </c>
      <c r="L4" s="74">
        <f t="shared" ref="L4:R4" si="1">D4</f>
        <v>2022</v>
      </c>
      <c r="M4" s="310">
        <f t="shared" si="1"/>
        <v>2023</v>
      </c>
      <c r="N4" s="350">
        <f t="shared" si="1"/>
        <v>2024</v>
      </c>
      <c r="O4" s="350">
        <f t="shared" si="1"/>
        <v>2025</v>
      </c>
      <c r="P4" s="350">
        <f t="shared" si="1"/>
        <v>2026</v>
      </c>
      <c r="Q4" s="350">
        <f t="shared" si="1"/>
        <v>2027</v>
      </c>
      <c r="R4" s="350">
        <f t="shared" si="1"/>
        <v>2028</v>
      </c>
      <c r="T4" s="74">
        <f t="shared" ref="T4:Z4" si="2">D4</f>
        <v>2022</v>
      </c>
      <c r="U4" s="310">
        <f t="shared" si="2"/>
        <v>2023</v>
      </c>
      <c r="V4" s="350">
        <f t="shared" si="2"/>
        <v>2024</v>
      </c>
      <c r="W4" s="350">
        <f t="shared" si="2"/>
        <v>2025</v>
      </c>
      <c r="X4" s="350">
        <f t="shared" si="2"/>
        <v>2026</v>
      </c>
      <c r="Y4" s="350">
        <f t="shared" si="2"/>
        <v>2027</v>
      </c>
      <c r="Z4" s="350">
        <f t="shared" si="2"/>
        <v>2028</v>
      </c>
    </row>
    <row r="5" spans="1:26" x14ac:dyDescent="0.25">
      <c r="A5" s="2" t="s">
        <v>161</v>
      </c>
      <c r="B5" s="2"/>
      <c r="C5" s="2"/>
      <c r="D5" s="318"/>
      <c r="E5" s="314"/>
      <c r="F5" s="3"/>
      <c r="G5" s="3"/>
      <c r="H5" s="3"/>
      <c r="I5" s="3"/>
      <c r="J5" s="3"/>
      <c r="L5" s="318"/>
      <c r="M5" s="314"/>
      <c r="T5" s="318"/>
      <c r="U5" s="323"/>
    </row>
    <row r="6" spans="1:26" x14ac:dyDescent="0.25">
      <c r="A6" s="3" t="s">
        <v>162</v>
      </c>
      <c r="B6" s="145">
        <v>2020</v>
      </c>
      <c r="C6" s="145">
        <v>20000000</v>
      </c>
      <c r="D6" s="319">
        <v>0</v>
      </c>
      <c r="E6" s="315">
        <v>0</v>
      </c>
      <c r="F6" s="145">
        <v>0</v>
      </c>
      <c r="G6" s="145">
        <v>0</v>
      </c>
      <c r="H6" s="145">
        <v>0</v>
      </c>
      <c r="I6" s="145">
        <v>0</v>
      </c>
      <c r="J6" s="145">
        <v>0</v>
      </c>
      <c r="L6" s="321">
        <f>((C6*$B$49*($L$4-B6+1))+D6*$B$49)</f>
        <v>15000000</v>
      </c>
      <c r="M6" s="372">
        <f>(D6+E6)*$B$49+IF((E4-B6)*$B$49*C6&lt;C6,C6*$B$49,0)</f>
        <v>5000000</v>
      </c>
      <c r="N6" s="372">
        <f>(D6+E6+F6)*$B$49+IF((F4-B6)*$B$49*C6&lt;C6,C6*$B$49,0)</f>
        <v>0</v>
      </c>
      <c r="O6" s="372">
        <f>(D6+E6+F6+G6)*$B$49+IF((G4-B6)*$B$49*C6&lt;C6,C6*$B$49,0)</f>
        <v>0</v>
      </c>
      <c r="P6" s="372">
        <f>(D6+E6+F6+G6+H6)*$B$49+IF((H4-B6)*$B$49*C6&lt;C6,C6*$B$49,0)</f>
        <v>0</v>
      </c>
      <c r="Q6" s="372">
        <f>(D6+E6+F6+G6+H6+I6)*$B$49+IF((I4-B6)*$B$49*C6&lt;C6,C6*$B$49,0)</f>
        <v>0</v>
      </c>
      <c r="R6" s="372">
        <f>(D6+F6+G6+H6+I6+J6)*$B$49+IF((J4-B6)*$B$49*E6&lt;E6,E6*$B$49,0)</f>
        <v>0</v>
      </c>
      <c r="T6" s="322">
        <f>C6+D6-L6</f>
        <v>5000000</v>
      </c>
      <c r="U6" s="9">
        <f>T6+E6-M6</f>
        <v>0</v>
      </c>
      <c r="V6">
        <f>U6+F6-N6</f>
        <v>0</v>
      </c>
      <c r="W6">
        <f t="shared" ref="W6:Z6" si="3">V6+G6-O6</f>
        <v>0</v>
      </c>
      <c r="X6">
        <f t="shared" si="3"/>
        <v>0</v>
      </c>
      <c r="Y6">
        <f t="shared" si="3"/>
        <v>0</v>
      </c>
      <c r="Z6">
        <f t="shared" si="3"/>
        <v>0</v>
      </c>
    </row>
    <row r="7" spans="1:26" x14ac:dyDescent="0.25">
      <c r="A7" s="3" t="s">
        <v>163</v>
      </c>
      <c r="B7" s="145">
        <v>2020</v>
      </c>
      <c r="C7" s="145">
        <v>8000000</v>
      </c>
      <c r="D7" s="319">
        <v>0</v>
      </c>
      <c r="E7" s="31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L7" s="321">
        <f>((C7*$B$49*($L$4-B7+1))+D7*$B$49)</f>
        <v>6000000</v>
      </c>
      <c r="M7" s="372">
        <f>(D7+E7)*$B$49+IF((E4-B6)*$B$49*C7&lt;C7,C7*$B$49,0)</f>
        <v>2000000</v>
      </c>
      <c r="N7" s="372">
        <f>(D7+E7+F7)*$B$49+IF((F4-B7)*$B$49*C7&lt;C7,C7*$B$49,0)</f>
        <v>0</v>
      </c>
      <c r="O7" s="372">
        <f>(D7+E7+F7+G7)*$B$49+IF((G4-B7)*$B$49*C7&lt;C7,C7*$B$49,0)</f>
        <v>0</v>
      </c>
      <c r="P7" s="372">
        <f>(D7+E7+F7+G7+H7)*$B$49+IF((H4-B7)*$B$49*C7&lt;C7,C7*$B$49,0)</f>
        <v>0</v>
      </c>
      <c r="Q7" s="372">
        <f>(D7+E7+F7+G7+H7+I7)*$B$49+IF((I4-B7)*$B$49*C7&lt;C7,C7*$B$49,0)</f>
        <v>0</v>
      </c>
      <c r="R7" s="372">
        <f>(D7+F7+G7+H7+I7+J7)*$B$49+IF((J5-B7)*$B$49*E7&lt;E7,E7*$B$49,0)</f>
        <v>0</v>
      </c>
      <c r="T7" s="322">
        <f t="shared" ref="T7:T10" si="4">C7+D7-L7</f>
        <v>2000000</v>
      </c>
      <c r="U7" s="9">
        <f t="shared" ref="U7:U10" si="5">T7+E7-M7</f>
        <v>0</v>
      </c>
      <c r="V7">
        <f t="shared" ref="V7:V10" si="6">U7+F7-N7</f>
        <v>0</v>
      </c>
      <c r="W7">
        <f t="shared" ref="W7:W10" si="7">V7+G7-O7</f>
        <v>0</v>
      </c>
      <c r="X7">
        <f t="shared" ref="X7:Y10" si="8">W7+H7-P7</f>
        <v>0</v>
      </c>
      <c r="Y7">
        <f t="shared" si="8"/>
        <v>0</v>
      </c>
      <c r="Z7">
        <f>Y7+J7-R7</f>
        <v>0</v>
      </c>
    </row>
    <row r="8" spans="1:26" x14ac:dyDescent="0.25">
      <c r="A8" s="3" t="s">
        <v>164</v>
      </c>
      <c r="B8" s="145">
        <v>2020</v>
      </c>
      <c r="C8" s="145">
        <v>6000000</v>
      </c>
      <c r="D8" s="319">
        <v>0</v>
      </c>
      <c r="E8" s="31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L8" s="321">
        <f>((C8)*$B$45)*($L$4-B8+1)+ D8*$B$45</f>
        <v>1800000</v>
      </c>
      <c r="M8" s="372">
        <f>(D8+E8)*$B$45+IF((E4-B7)*$B$45*C8&lt;C8,C8*$B$45,0)</f>
        <v>600000</v>
      </c>
      <c r="N8" s="372">
        <f>(D8+E8+F8)*$B$45+IF((F4-B8)*$B$45*C8&lt;C8,C8*$B$45,0)</f>
        <v>600000</v>
      </c>
      <c r="O8" s="372">
        <f>(D8+E8+F8+G8)*$B$45+IF((G4-B8)*$B$45*C8&lt;C8,C8*$B$45,0)</f>
        <v>600000</v>
      </c>
      <c r="P8" s="372">
        <f>(D8+E8+F8+G8+H8)*$B$45+IF((H4-B8)*$B$45*C8&lt;C8,C8*$B$45,0)</f>
        <v>600000</v>
      </c>
      <c r="Q8" s="372">
        <f>(D8+E8+F8+G8+H8+I8)*$B$45+IF((I4-B8)*$B$45*C8&lt;C8,C8*$B$45,0)</f>
        <v>600000</v>
      </c>
      <c r="R8" s="372">
        <f>(D8+F8+G8+H8+I8+J8)*$B$45+IF((J4-B8)*$B$45*C8&lt;C8,C8*$B$45,0)</f>
        <v>600000</v>
      </c>
      <c r="T8" s="322">
        <f t="shared" si="4"/>
        <v>4200000</v>
      </c>
      <c r="U8" s="9">
        <f t="shared" si="5"/>
        <v>3600000</v>
      </c>
      <c r="V8">
        <f t="shared" si="6"/>
        <v>3000000</v>
      </c>
      <c r="W8">
        <f t="shared" si="7"/>
        <v>2400000</v>
      </c>
      <c r="X8">
        <f t="shared" si="8"/>
        <v>1800000</v>
      </c>
      <c r="Y8">
        <f t="shared" si="8"/>
        <v>1200000</v>
      </c>
      <c r="Z8">
        <f>Y8+J8-R8</f>
        <v>600000</v>
      </c>
    </row>
    <row r="9" spans="1:26" x14ac:dyDescent="0.25">
      <c r="A9" s="3" t="s">
        <v>165</v>
      </c>
      <c r="B9" s="145">
        <v>2020</v>
      </c>
      <c r="C9" s="145">
        <v>2000000</v>
      </c>
      <c r="D9" s="319">
        <v>0</v>
      </c>
      <c r="E9" s="31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L9" s="321">
        <f>((C9*$B$50*($L$4-B9+1))+D9*$B$50)</f>
        <v>1500000</v>
      </c>
      <c r="M9" s="372">
        <f>(D9+E9)*$B$50+IF((E4-B8)*$B$50*C9&lt;C9,C9*$B$50,0)</f>
        <v>500000</v>
      </c>
      <c r="N9" s="372">
        <f>(D9+E9+F9)*$B$50+IF((F4-B9)*$B$50*C9&lt;C9,C9*$B$50,0)</f>
        <v>0</v>
      </c>
      <c r="O9" s="372">
        <f>(D9+E9+F9+G9)*$B$50+IF((G4-B9)*$B$50*C9&lt;C9,C9*$B$50,0)</f>
        <v>0</v>
      </c>
      <c r="P9" s="372">
        <f>(D9+E9+F9+G9+H9)*$B$50+IF((H4-B9)*$B$50*C9&lt;C9,C9*$B$50,0)</f>
        <v>0</v>
      </c>
      <c r="Q9" s="372">
        <f>(D9+E9+F9+G9+H9+I9)*$B$50+IF((I4-B9)*$B$50*C9&lt;C9,C9*$B$50,0)</f>
        <v>0</v>
      </c>
      <c r="R9" s="372">
        <f>(F9+G9+H9+I9+J9)*$B$50+IF((J4-B9)*$B$50*E9&lt;E9,E9*$B$50,0)</f>
        <v>0</v>
      </c>
      <c r="T9" s="322">
        <f t="shared" si="4"/>
        <v>500000</v>
      </c>
      <c r="U9" s="9">
        <f t="shared" si="5"/>
        <v>0</v>
      </c>
      <c r="V9">
        <f t="shared" si="6"/>
        <v>0</v>
      </c>
      <c r="W9">
        <f t="shared" si="7"/>
        <v>0</v>
      </c>
      <c r="X9">
        <f t="shared" si="8"/>
        <v>0</v>
      </c>
      <c r="Y9">
        <f t="shared" si="8"/>
        <v>0</v>
      </c>
      <c r="Z9">
        <f>Y9+J9-R9</f>
        <v>0</v>
      </c>
    </row>
    <row r="10" spans="1:26" x14ac:dyDescent="0.25">
      <c r="A10" s="3" t="s">
        <v>166</v>
      </c>
      <c r="B10" s="145">
        <v>2020</v>
      </c>
      <c r="C10" s="145">
        <v>100000000</v>
      </c>
      <c r="D10" s="319">
        <v>0</v>
      </c>
      <c r="E10" s="31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L10" s="321">
        <f>((C10)*$B$44)*($L$4-B10+1)+ D10*$B$44</f>
        <v>30000000</v>
      </c>
      <c r="M10" s="372">
        <f>(D10+E10)*$B$44+IF((E4-B9)*$B$44*C10&lt;C10,C10*$B$44,0)</f>
        <v>10000000</v>
      </c>
      <c r="N10" s="372">
        <f>(D10+E10+F10)*$B$44+IF((F4-B10)*$B$44*C10&lt;C10,C10*$B$44,0)</f>
        <v>10000000</v>
      </c>
      <c r="O10" s="372">
        <f>(D10+E10+F10+G10)*$B$44+IF((G4-B10)*$B$44*C10&lt;C10,C10*$B$44,0)</f>
        <v>10000000</v>
      </c>
      <c r="P10" s="372">
        <f>(D10+E10+F10+G10+H10)*$B$44+IF((H4-B10)*$B$44*C10&lt;C10,C10*$B$44,0)</f>
        <v>10000000</v>
      </c>
      <c r="Q10" s="372">
        <f>(D10+E10+F10+G10+H10+I10)*$B$44+IF((I4-B10)*$B$44*C10&lt;C10,C10*$B$44,0)</f>
        <v>10000000</v>
      </c>
      <c r="R10" s="372">
        <f>(D10+F10+G10+H10+I10+J10)*$B$44+IF((J4-B10)*$B$44*C10&lt;C10,C10*$B$44,0)</f>
        <v>10000000</v>
      </c>
      <c r="T10" s="322">
        <f t="shared" si="4"/>
        <v>70000000</v>
      </c>
      <c r="U10" s="9">
        <f t="shared" si="5"/>
        <v>60000000</v>
      </c>
      <c r="V10">
        <f t="shared" si="6"/>
        <v>50000000</v>
      </c>
      <c r="W10">
        <f t="shared" si="7"/>
        <v>40000000</v>
      </c>
      <c r="X10">
        <f t="shared" si="8"/>
        <v>30000000</v>
      </c>
      <c r="Y10">
        <f t="shared" si="8"/>
        <v>20000000</v>
      </c>
      <c r="Z10">
        <f>Y10+J10-R10</f>
        <v>10000000</v>
      </c>
    </row>
    <row r="11" spans="1:26" x14ac:dyDescent="0.25">
      <c r="A11" s="4" t="s">
        <v>167</v>
      </c>
      <c r="B11" s="4"/>
      <c r="C11" s="311">
        <f t="shared" ref="C11:J11" si="9">SUM(C6:C10)</f>
        <v>136000000</v>
      </c>
      <c r="D11" s="311">
        <f t="shared" si="9"/>
        <v>0</v>
      </c>
      <c r="E11" s="311">
        <f t="shared" si="9"/>
        <v>0</v>
      </c>
      <c r="F11" s="311">
        <f t="shared" si="9"/>
        <v>0</v>
      </c>
      <c r="G11" s="5">
        <f t="shared" si="9"/>
        <v>0</v>
      </c>
      <c r="H11" s="5">
        <f t="shared" si="9"/>
        <v>0</v>
      </c>
      <c r="I11" s="5">
        <f t="shared" si="9"/>
        <v>0</v>
      </c>
      <c r="J11" s="5">
        <f t="shared" si="9"/>
        <v>0</v>
      </c>
      <c r="L11" s="5">
        <f>SUM(L6:L10)</f>
        <v>54300000</v>
      </c>
      <c r="M11" s="5">
        <f>SUM(M6:M10)</f>
        <v>18100000</v>
      </c>
      <c r="N11" s="5">
        <f>SUM(N6:N10)</f>
        <v>10600000</v>
      </c>
      <c r="O11" s="5">
        <f>SUM(O6:O10)</f>
        <v>10600000</v>
      </c>
      <c r="P11" s="5">
        <f>SUM(P6:P10)</f>
        <v>10600000</v>
      </c>
      <c r="Q11" s="5">
        <f t="shared" ref="Q11:R11" si="10">SUM(Q6:Q10)</f>
        <v>10600000</v>
      </c>
      <c r="R11" s="5">
        <f t="shared" si="10"/>
        <v>10600000</v>
      </c>
      <c r="T11" s="5">
        <f t="shared" ref="T11:Z11" si="11">SUM(T6:T10)</f>
        <v>81700000</v>
      </c>
      <c r="U11" s="5">
        <f t="shared" si="11"/>
        <v>63600000</v>
      </c>
      <c r="V11" s="311">
        <f t="shared" si="11"/>
        <v>53000000</v>
      </c>
      <c r="W11" s="5">
        <f t="shared" si="11"/>
        <v>42400000</v>
      </c>
      <c r="X11" s="5">
        <f t="shared" si="11"/>
        <v>31800000</v>
      </c>
      <c r="Y11" s="5">
        <f t="shared" si="11"/>
        <v>21200000</v>
      </c>
      <c r="Z11" s="5">
        <f t="shared" si="11"/>
        <v>10600000</v>
      </c>
    </row>
    <row r="12" spans="1:26" x14ac:dyDescent="0.25">
      <c r="A12" s="2" t="s">
        <v>168</v>
      </c>
      <c r="B12" s="2"/>
      <c r="C12" s="2"/>
      <c r="D12" s="320"/>
      <c r="E12" s="316"/>
      <c r="F12" s="3"/>
      <c r="G12" s="3"/>
      <c r="H12" s="3"/>
      <c r="I12" s="3"/>
      <c r="J12" s="3"/>
      <c r="L12" s="320"/>
      <c r="M12" s="316"/>
      <c r="T12" s="320"/>
      <c r="U12" s="320"/>
    </row>
    <row r="13" spans="1:26" x14ac:dyDescent="0.25">
      <c r="A13" s="3" t="s">
        <v>169</v>
      </c>
      <c r="B13" s="145">
        <v>2020</v>
      </c>
      <c r="C13" s="145">
        <v>10000000</v>
      </c>
      <c r="D13" s="319">
        <v>0</v>
      </c>
      <c r="E13" s="31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L13" s="321">
        <f t="shared" ref="L13:L17" si="12">((C13)*$B$44)*($L$4-B13+1)+ D13*$B$44</f>
        <v>3000000</v>
      </c>
      <c r="M13" s="372">
        <f>(D13+E13)*$B$44+IF((E4-B13)*$B$44*C13&lt;C13,C13*$B$44,0)</f>
        <v>1000000</v>
      </c>
      <c r="N13" s="372">
        <f>(D13+E13+F13)*$B$44+IF((F4-B13)*$B$44*C13&lt;C13,C13*$B$44,0)</f>
        <v>1000000</v>
      </c>
      <c r="O13" s="372">
        <f>(D13+E13+F13+G13)*$B$44+IF((G4-B13)*$B$44*C13&lt;C13,C13*$B$44,0)</f>
        <v>1000000</v>
      </c>
      <c r="P13" s="372">
        <f>(D13+E13+F13+G13+H13)*$B$44+IF((H4-B13)*$B$44*C13&lt;C13,C13*$B$44,0)</f>
        <v>1000000</v>
      </c>
      <c r="Q13" s="372">
        <f>(D13+E13+F13+G13+H13+I13)*$B$44+IF((I4-B13)*$B$44*C13&lt;C13,C13*$B$44,0)</f>
        <v>1000000</v>
      </c>
      <c r="R13" s="372">
        <f>(D13+F13+G13+H13+I13+J13)*$B$44+IF((J4-B13)*$B$44*C13&lt;C13,C13*$B$44,0)</f>
        <v>1000000</v>
      </c>
      <c r="T13" s="322">
        <f t="shared" ref="T13:T17" si="13">C13+D13-L13</f>
        <v>7000000</v>
      </c>
      <c r="U13" s="9">
        <f t="shared" ref="U13:U17" si="14">T13+E13-M13</f>
        <v>6000000</v>
      </c>
      <c r="V13">
        <f t="shared" ref="V13:V17" si="15">U13+F13-N13</f>
        <v>5000000</v>
      </c>
      <c r="W13">
        <f t="shared" ref="W13:W17" si="16">V13+G13-O13</f>
        <v>4000000</v>
      </c>
      <c r="X13">
        <f t="shared" ref="X13:X17" si="17">W13+H13-P13</f>
        <v>3000000</v>
      </c>
      <c r="Y13">
        <f t="shared" ref="Y13:Y17" si="18">X13+I13-Q13</f>
        <v>2000000</v>
      </c>
      <c r="Z13">
        <f t="shared" ref="Z13:Z17" si="19">Y13+J13-R13</f>
        <v>1000000</v>
      </c>
    </row>
    <row r="14" spans="1:26" x14ac:dyDescent="0.25">
      <c r="A14" s="3" t="s">
        <v>170</v>
      </c>
      <c r="B14" s="145">
        <v>2020</v>
      </c>
      <c r="C14" s="145">
        <v>10000000</v>
      </c>
      <c r="D14" s="319">
        <v>0</v>
      </c>
      <c r="E14" s="31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L14" s="321">
        <f t="shared" si="12"/>
        <v>3000000</v>
      </c>
      <c r="M14" s="372">
        <f>(D14+E14)*$B$44+IF((E4-B14)*$B$44*C14&lt;C14,C14*$B$44,0)</f>
        <v>1000000</v>
      </c>
      <c r="N14" s="372">
        <f>(D14+E14+F14)*$B$44+IF((F4-B14)*$B$44*C14&lt;C14,C14*$B$44,0)</f>
        <v>1000000</v>
      </c>
      <c r="O14" s="372">
        <f>(D14+E14+F14+G14)*$B$44+IF((G4-B14)*$B$44*C14&lt;C14,C14*$B$44,0)</f>
        <v>1000000</v>
      </c>
      <c r="P14" s="372">
        <f>(D14+E14+F14+G14+H14)*$B$44+IF((H4-B14)*$B$44*C14&lt;C14,C14*$B$44,0)</f>
        <v>1000000</v>
      </c>
      <c r="Q14" s="372">
        <f>(D14+E14+F14+G14+H14+I14)*$B$44+IF((I4-B14)*$B$44*C14&lt;C14,C14*$B$44,0)</f>
        <v>1000000</v>
      </c>
      <c r="R14" s="372">
        <f>(D14+F14+G14+H14+I14+J14)*$B$44+IF((J4-B14)*$B$44*C14&lt;C14,C14*$B$44,0)</f>
        <v>1000000</v>
      </c>
      <c r="S14" s="372"/>
      <c r="T14" s="322">
        <f t="shared" si="13"/>
        <v>7000000</v>
      </c>
      <c r="U14" s="9">
        <f t="shared" si="14"/>
        <v>6000000</v>
      </c>
      <c r="V14">
        <f t="shared" si="15"/>
        <v>5000000</v>
      </c>
      <c r="W14">
        <f t="shared" si="16"/>
        <v>4000000</v>
      </c>
      <c r="X14">
        <f t="shared" si="17"/>
        <v>3000000</v>
      </c>
      <c r="Y14">
        <f t="shared" si="18"/>
        <v>2000000</v>
      </c>
      <c r="Z14">
        <f t="shared" si="19"/>
        <v>1000000</v>
      </c>
    </row>
    <row r="15" spans="1:26" x14ac:dyDescent="0.25">
      <c r="A15" s="145" t="s">
        <v>171</v>
      </c>
      <c r="B15" s="145">
        <v>2020</v>
      </c>
      <c r="C15" s="145">
        <v>10000000</v>
      </c>
      <c r="D15" s="319">
        <v>0</v>
      </c>
      <c r="E15" s="31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L15" s="321">
        <f t="shared" si="12"/>
        <v>3000000</v>
      </c>
      <c r="M15" s="372">
        <f>(D15+E15)*$B$44+IF((E4-B15)*$B$44*C15&lt;C15,C15*$B$44,0)</f>
        <v>1000000</v>
      </c>
      <c r="N15" s="372">
        <f>(D15+E15+F15)*$B$44+IF((F4-B15)*$B$44*C15&lt;C15,C15*$B$44,0)</f>
        <v>1000000</v>
      </c>
      <c r="O15" s="372">
        <f>(D15+E15+F15+G15)*$B$44+IF((G4-B15)*$B$44*C15&lt;C15,C15*$B$44,0)</f>
        <v>1000000</v>
      </c>
      <c r="P15" s="372">
        <f>(D15+E15+F15+G15+H15)*$B$44+IF((H4-B15)*$B$44*C15&lt;C15,C15*$B$44,0)</f>
        <v>1000000</v>
      </c>
      <c r="Q15" s="372">
        <f>(D15+E15+F15+G15+H15+I15)*$B$44+IF((I4-B15)*$B$44*C15&lt;C15,C15*$B$44,0)</f>
        <v>1000000</v>
      </c>
      <c r="R15" s="372">
        <f>(D15+F15+G15+H15+I15+J15)*$B$44+IF((J4-B15)*$B$44*C15&lt;C15,C15*$B$44,0)</f>
        <v>1000000</v>
      </c>
      <c r="T15" s="322">
        <f t="shared" si="13"/>
        <v>7000000</v>
      </c>
      <c r="U15" s="9">
        <f t="shared" si="14"/>
        <v>6000000</v>
      </c>
      <c r="V15">
        <f t="shared" si="15"/>
        <v>5000000</v>
      </c>
      <c r="W15">
        <f t="shared" si="16"/>
        <v>4000000</v>
      </c>
      <c r="X15">
        <f t="shared" si="17"/>
        <v>3000000</v>
      </c>
      <c r="Y15">
        <f t="shared" si="18"/>
        <v>2000000</v>
      </c>
      <c r="Z15">
        <f t="shared" si="19"/>
        <v>1000000</v>
      </c>
    </row>
    <row r="16" spans="1:26" x14ac:dyDescent="0.25">
      <c r="A16" s="145" t="s">
        <v>171</v>
      </c>
      <c r="B16" s="145">
        <v>2020</v>
      </c>
      <c r="C16" s="145">
        <v>10000000</v>
      </c>
      <c r="D16" s="319">
        <v>0</v>
      </c>
      <c r="E16" s="31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L16" s="321">
        <f t="shared" si="12"/>
        <v>3000000</v>
      </c>
      <c r="M16" s="372">
        <f>(D16+E16)*$B$44+IF((E4-B16)*$B$44*C16&lt;C16,C16*$B$44,0)</f>
        <v>1000000</v>
      </c>
      <c r="N16" s="372">
        <f>(D16+E16+F16)*$B$44+IF((F4-B16)*$B$44*C16&lt;C16,C16*$B$44,0)</f>
        <v>1000000</v>
      </c>
      <c r="O16" s="372">
        <f>(D16+E16+F16+G16)*$B$44+IF((G4-B16)*$B$44*C16&lt;C16,C16*$B$44,0)</f>
        <v>1000000</v>
      </c>
      <c r="P16" s="372">
        <f>(D16+E16+F16+G16+H16)*$B$44+IF((H4-B16)*$B$44*C16&lt;C16,C16*$B$44,0)</f>
        <v>1000000</v>
      </c>
      <c r="Q16" s="372">
        <f>(D16+E16+F16+G16+H16+I16)*$B$44+IF((I4-B16)*$B$44*C16&lt;C16,C16*$B$44,0)</f>
        <v>1000000</v>
      </c>
      <c r="R16" s="372">
        <f>(D16+F16+G16+H16+I16+J16)*$B$44+IF((J4-B16)*$B$44*C16&lt;C16,C16*$B$44,0)</f>
        <v>1000000</v>
      </c>
      <c r="T16" s="322">
        <f t="shared" si="13"/>
        <v>7000000</v>
      </c>
      <c r="U16" s="9">
        <f t="shared" si="14"/>
        <v>6000000</v>
      </c>
      <c r="V16">
        <f t="shared" si="15"/>
        <v>5000000</v>
      </c>
      <c r="W16">
        <f t="shared" si="16"/>
        <v>4000000</v>
      </c>
      <c r="X16">
        <f t="shared" si="17"/>
        <v>3000000</v>
      </c>
      <c r="Y16">
        <f t="shared" si="18"/>
        <v>2000000</v>
      </c>
      <c r="Z16">
        <f t="shared" si="19"/>
        <v>1000000</v>
      </c>
    </row>
    <row r="17" spans="1:26" x14ac:dyDescent="0.25">
      <c r="A17" s="145" t="s">
        <v>171</v>
      </c>
      <c r="B17" s="145">
        <v>2020</v>
      </c>
      <c r="C17" s="145">
        <v>10000000</v>
      </c>
      <c r="D17" s="319">
        <v>0</v>
      </c>
      <c r="E17" s="31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L17" s="321">
        <f t="shared" si="12"/>
        <v>3000000</v>
      </c>
      <c r="M17" s="372">
        <f>(D17+E17)*$B$44+IF((E4-B17)*$B$44*C17&lt;C17,C17*$B$44,0)</f>
        <v>1000000</v>
      </c>
      <c r="N17" s="372">
        <f>(D17+E17+F17)*$B$44+IF((F4-B17)*$B$44*C17&lt;C17,C17*$B$44,0)</f>
        <v>1000000</v>
      </c>
      <c r="O17" s="372">
        <f>(D17+E17+F17+G17)*$B$44+IF((G4-B17)*$B$44*C17&lt;C17,C17*$B$44,0)</f>
        <v>1000000</v>
      </c>
      <c r="P17" s="372">
        <f>(D17+E17+F17+G17+H17)*$B$44+IF((H4-B17)*$B$44*C17&lt;C17,C17*$B$44,0)</f>
        <v>1000000</v>
      </c>
      <c r="Q17" s="372">
        <f>(D17+E17+F17+G17+H17+I17)*$B$44+IF((I4-B17)*$B$44*C17&lt;C17,C17*$B$44,0)</f>
        <v>1000000</v>
      </c>
      <c r="R17" s="372">
        <f>(D17+F17+G17+H17+I17+J17)*$B$44+IF((J4-B17)*$B$44*C17&lt;C17,C17*$B$44,0)</f>
        <v>1000000</v>
      </c>
      <c r="T17" s="322">
        <f t="shared" si="13"/>
        <v>7000000</v>
      </c>
      <c r="U17" s="9">
        <f t="shared" si="14"/>
        <v>6000000</v>
      </c>
      <c r="V17">
        <f t="shared" si="15"/>
        <v>5000000</v>
      </c>
      <c r="W17">
        <f t="shared" si="16"/>
        <v>4000000</v>
      </c>
      <c r="X17">
        <f t="shared" si="17"/>
        <v>3000000</v>
      </c>
      <c r="Y17">
        <f t="shared" si="18"/>
        <v>2000000</v>
      </c>
      <c r="Z17">
        <f t="shared" si="19"/>
        <v>1000000</v>
      </c>
    </row>
    <row r="18" spans="1:26" x14ac:dyDescent="0.25">
      <c r="A18" s="4" t="s">
        <v>167</v>
      </c>
      <c r="B18" s="4"/>
      <c r="C18" s="311">
        <f t="shared" ref="C18:J18" si="20">SUM(C13:C17)</f>
        <v>50000000</v>
      </c>
      <c r="D18" s="311">
        <f t="shared" si="20"/>
        <v>0</v>
      </c>
      <c r="E18" s="311">
        <f t="shared" si="20"/>
        <v>0</v>
      </c>
      <c r="F18" s="311">
        <f t="shared" si="20"/>
        <v>0</v>
      </c>
      <c r="G18" s="5">
        <f t="shared" si="20"/>
        <v>0</v>
      </c>
      <c r="H18" s="5">
        <f t="shared" si="20"/>
        <v>0</v>
      </c>
      <c r="I18" s="5">
        <f t="shared" si="20"/>
        <v>0</v>
      </c>
      <c r="J18" s="5">
        <f t="shared" si="20"/>
        <v>0</v>
      </c>
      <c r="L18" s="5">
        <f t="shared" ref="L18:M18" si="21">SUM(L13:L17)</f>
        <v>15000000</v>
      </c>
      <c r="M18" s="5">
        <f t="shared" si="21"/>
        <v>5000000</v>
      </c>
      <c r="N18" s="5">
        <f>SUM(N13:N17)</f>
        <v>5000000</v>
      </c>
      <c r="O18" s="5">
        <f>SUM(O13:O17)</f>
        <v>5000000</v>
      </c>
      <c r="P18" s="5">
        <f>SUM(P13:P17)</f>
        <v>5000000</v>
      </c>
      <c r="Q18" s="5">
        <f>SUM(Q13:Q17)</f>
        <v>5000000</v>
      </c>
      <c r="R18" s="5">
        <f>SUM(R13:R17)</f>
        <v>5000000</v>
      </c>
      <c r="T18" s="5">
        <f t="shared" ref="T18" si="22">SUM(T13:T17)</f>
        <v>35000000</v>
      </c>
      <c r="U18" s="5">
        <f t="shared" ref="U18" si="23">SUM(U13:U17)</f>
        <v>30000000</v>
      </c>
      <c r="V18" s="311">
        <f>SUM(V13:V17)</f>
        <v>25000000</v>
      </c>
      <c r="W18" s="5">
        <f>SUM(W13:W17)</f>
        <v>20000000</v>
      </c>
      <c r="X18" s="5">
        <f>SUM(X13:X17)</f>
        <v>15000000</v>
      </c>
      <c r="Y18" s="5">
        <f>SUM(Y13:Y17)</f>
        <v>10000000</v>
      </c>
      <c r="Z18" s="5">
        <f>SUM(Z13:Z17)</f>
        <v>5000000</v>
      </c>
    </row>
    <row r="19" spans="1:26" x14ac:dyDescent="0.25">
      <c r="A19" s="2" t="s">
        <v>172</v>
      </c>
      <c r="B19" s="2"/>
      <c r="C19" s="2"/>
      <c r="D19" s="320"/>
      <c r="E19" s="316"/>
      <c r="F19" s="3"/>
      <c r="G19" s="3"/>
      <c r="H19" s="3"/>
      <c r="I19" s="3"/>
      <c r="J19" s="3"/>
      <c r="L19" s="320"/>
      <c r="M19" s="316"/>
      <c r="T19" s="320"/>
      <c r="U19" s="320"/>
    </row>
    <row r="20" spans="1:26" x14ac:dyDescent="0.25">
      <c r="A20" t="s">
        <v>173</v>
      </c>
      <c r="B20" s="145">
        <v>2020</v>
      </c>
      <c r="C20" s="76">
        <v>100000000</v>
      </c>
      <c r="D20" s="319">
        <v>0</v>
      </c>
      <c r="E20" s="31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L20" s="321">
        <f>((C20)*$B$42)*($L$4-B20+1)+ D20*$B$42</f>
        <v>0</v>
      </c>
      <c r="M20" s="317">
        <f>(C20+D20+E20)*$B$42</f>
        <v>0</v>
      </c>
      <c r="N20">
        <f>(C20+D20+E20+F20)*$B$42</f>
        <v>0</v>
      </c>
      <c r="O20">
        <f>(C20+D20+E20+F20+G20)*$B$42</f>
        <v>0</v>
      </c>
      <c r="P20">
        <f>(C20+D20+E20+F20+G20+H20)*$B$42</f>
        <v>0</v>
      </c>
      <c r="Q20">
        <f>(C20+D20+E20+F20+G20+H20+I20)*$B$42</f>
        <v>0</v>
      </c>
      <c r="R20">
        <f>(C20+D20+E20+F20+G20+H20+I20+J20)*$B$42</f>
        <v>0</v>
      </c>
      <c r="T20" s="322">
        <f t="shared" ref="T20:T21" si="24">C20+D20-L20</f>
        <v>100000000</v>
      </c>
      <c r="U20" s="9">
        <f t="shared" ref="U20:U22" si="25">T20+E20-M20</f>
        <v>100000000</v>
      </c>
      <c r="V20">
        <f t="shared" ref="V20:Z21" si="26">U20+F20-N20</f>
        <v>100000000</v>
      </c>
      <c r="W20">
        <f t="shared" si="26"/>
        <v>100000000</v>
      </c>
      <c r="X20">
        <f t="shared" si="26"/>
        <v>100000000</v>
      </c>
      <c r="Y20">
        <f t="shared" si="26"/>
        <v>100000000</v>
      </c>
      <c r="Z20">
        <f t="shared" si="26"/>
        <v>100000000</v>
      </c>
    </row>
    <row r="21" spans="1:26" x14ac:dyDescent="0.25">
      <c r="A21" s="3" t="s">
        <v>174</v>
      </c>
      <c r="B21" s="145">
        <v>2020</v>
      </c>
      <c r="C21" s="145">
        <v>200000000</v>
      </c>
      <c r="D21" s="319">
        <v>0</v>
      </c>
      <c r="E21" s="31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L21" s="321">
        <f>((C21)*$B$43)*($L$4-B21+1)+ D21*$B$43</f>
        <v>30000000</v>
      </c>
      <c r="M21" s="372">
        <f>(D21+E21)*$B$43+IF((E4-B21)*$B$43*C21&lt;C21,C21*$B$43,0)</f>
        <v>10000000</v>
      </c>
      <c r="N21" s="372">
        <f>(D21+E21+F21)*$B$43+IF((F4-B21)*$B$43*C21&lt;C21,C21*$B$43,0)</f>
        <v>10000000</v>
      </c>
      <c r="O21" s="372">
        <f>(D21+E21+F21+G21)*$B$43+IF((G4-B21)*$B$43*C21&lt;C21,C21*$B$43,0)</f>
        <v>10000000</v>
      </c>
      <c r="P21" s="372">
        <f>(D21+E21+F21+G21+H21)*$B$43+IF((H4-B21)*$B$43*C21&lt;C21,C21*$B$43,0)</f>
        <v>10000000</v>
      </c>
      <c r="Q21" s="372">
        <f>(D21+E21+F21+G21+H21+I21)*$B$43+IF((I4-B21)*$B$43*C21&lt;C21,C21*$B$43,0)</f>
        <v>10000000</v>
      </c>
      <c r="R21" s="372">
        <f>(D21+F21+G21+H21+I21+J21)*$B$43+IF((J4-B21)*$B$43*C21&lt;C21,C21*$B$43,0)</f>
        <v>10000000</v>
      </c>
      <c r="T21" s="322">
        <f t="shared" si="24"/>
        <v>170000000</v>
      </c>
      <c r="U21" s="9">
        <f t="shared" si="25"/>
        <v>160000000</v>
      </c>
      <c r="V21">
        <f t="shared" si="26"/>
        <v>150000000</v>
      </c>
      <c r="W21">
        <f t="shared" si="26"/>
        <v>140000000</v>
      </c>
      <c r="X21">
        <f t="shared" si="26"/>
        <v>130000000</v>
      </c>
      <c r="Y21">
        <f t="shared" si="26"/>
        <v>120000000</v>
      </c>
      <c r="Z21">
        <f t="shared" si="26"/>
        <v>110000000</v>
      </c>
    </row>
    <row r="22" spans="1:26" x14ac:dyDescent="0.25">
      <c r="A22" s="3" t="s">
        <v>175</v>
      </c>
      <c r="B22" s="145">
        <v>2020</v>
      </c>
      <c r="C22" s="145">
        <v>10000000</v>
      </c>
      <c r="D22" s="319">
        <v>0</v>
      </c>
      <c r="E22" s="31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L22" s="321">
        <f>((C22)*$B$47)*($L$4-B22+1)+ D22*$B$47</f>
        <v>3000000</v>
      </c>
      <c r="M22" s="372">
        <f>(D22+E22)*$B$47+IF((E4-B22)*$B$47*C22&lt;C22,C22*$B$47,0)</f>
        <v>1000000</v>
      </c>
      <c r="N22" s="372">
        <f>(D22+E22+F22)*$B$47+IF((F4-B22)*$B$47*C22&lt;C22,C22*$B$47,0)</f>
        <v>1000000</v>
      </c>
      <c r="O22" s="372">
        <f>(D22+E22+F22+G22)*$B$47+IF((G4-B22)*$B$47*C22&lt;C22,C22*$B$47,0)</f>
        <v>1000000</v>
      </c>
      <c r="P22" s="372">
        <f>(D22+E22+F22+G22+H22)*$B$47+IF((H4-B22)*$B$47*C22&lt;C22,C22*$B$47,0)</f>
        <v>1000000</v>
      </c>
      <c r="Q22" s="372">
        <f>(D22+E22+F22+G22+H22+I22)*$B$47+IF((I4-B22)*$B$47*C22&lt;C22,C22*$B$47,0)</f>
        <v>1000000</v>
      </c>
      <c r="R22" s="372">
        <f>(D22+F22+G22+H22+I22+J22)*$B$47+IF((J4-B22)*$B$47*C22&lt;C22,C22*$B$47,0)</f>
        <v>1000000</v>
      </c>
      <c r="T22" s="322">
        <f t="shared" ref="T22" si="27">C22+D22-L22</f>
        <v>7000000</v>
      </c>
      <c r="U22" s="9">
        <f t="shared" si="25"/>
        <v>6000000</v>
      </c>
      <c r="V22">
        <f t="shared" ref="V22:Z23" si="28">U22+F22-N22</f>
        <v>5000000</v>
      </c>
      <c r="W22">
        <f t="shared" si="28"/>
        <v>4000000</v>
      </c>
      <c r="X22">
        <f t="shared" si="28"/>
        <v>3000000</v>
      </c>
      <c r="Y22">
        <f t="shared" si="28"/>
        <v>2000000</v>
      </c>
      <c r="Z22">
        <f t="shared" si="28"/>
        <v>1000000</v>
      </c>
    </row>
    <row r="23" spans="1:26" x14ac:dyDescent="0.25">
      <c r="A23" s="3" t="s">
        <v>176</v>
      </c>
      <c r="B23" s="145">
        <v>2020</v>
      </c>
      <c r="C23" s="76">
        <v>100000000</v>
      </c>
      <c r="D23" s="319">
        <v>0</v>
      </c>
      <c r="E23" s="31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L23" s="321">
        <f>((C23)*$B$48)*($L$4-B23+1)+ D23*$B$48</f>
        <v>60000000</v>
      </c>
      <c r="M23" s="372">
        <f>(D23+E23)*$B$48+IF((E4-B23)*$B$48*C23&lt;C23,C23*$B$48,0)</f>
        <v>20000000</v>
      </c>
      <c r="N23" s="372">
        <f>(D23+E23+F23)*$B$48+IF((F4-B23)*$B$48*C23&lt;C23,C23*$B$48,0)</f>
        <v>20000000</v>
      </c>
      <c r="O23" s="372">
        <f>(D23+E23+F23+G23)*$B$48+IF((G4-B23)*$B$48*C23&lt;C23,C23*$B$48,0)</f>
        <v>0</v>
      </c>
      <c r="P23" s="372">
        <f>(D23+E23+F23+G23+H23)*$B$48+IF((H4-B23)*$B$48*C23&lt;C23,C23*$B$48,0)</f>
        <v>0</v>
      </c>
      <c r="Q23" s="372">
        <f>(D23+E23+F23+G23+H23+I23)*$B$48+IF((I4-B23)*$B$48*C23&lt;C23,C23*$B$48,0)</f>
        <v>0</v>
      </c>
      <c r="R23" s="372">
        <f>(D23+F23+G23+H23+I23+J23)*$B$48+IF((J4-B23)*$B$48*C23&lt;C23,C23*$B$48,0)</f>
        <v>0</v>
      </c>
      <c r="T23" s="322">
        <f>C23+D23-L23</f>
        <v>40000000</v>
      </c>
      <c r="U23" s="9">
        <f>T23+E23-M23</f>
        <v>20000000</v>
      </c>
      <c r="V23">
        <f t="shared" si="28"/>
        <v>0</v>
      </c>
      <c r="W23">
        <f t="shared" si="28"/>
        <v>0</v>
      </c>
      <c r="X23">
        <f t="shared" si="28"/>
        <v>0</v>
      </c>
      <c r="Y23">
        <f t="shared" si="28"/>
        <v>0</v>
      </c>
      <c r="Z23">
        <f t="shared" si="28"/>
        <v>0</v>
      </c>
    </row>
    <row r="24" spans="1:26" x14ac:dyDescent="0.25">
      <c r="A24" s="3" t="s">
        <v>177</v>
      </c>
      <c r="B24" s="145">
        <v>2020</v>
      </c>
      <c r="C24" s="76">
        <v>100000000</v>
      </c>
      <c r="D24" s="319">
        <v>0</v>
      </c>
      <c r="E24" s="31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L24" s="321">
        <f>((C24)*$B$48)*($L$4-B24+1)+ D24*$B$48</f>
        <v>60000000</v>
      </c>
      <c r="M24" s="372">
        <f>(D24+E24)*$B$48+IF((E4-B24)*$B$48*C24&lt;C24,C24*$B$48,0)</f>
        <v>20000000</v>
      </c>
      <c r="N24" s="372">
        <f>(D24+E24+F24)*$B$48+IF((F4-B24)*$B$48*C24&lt;C24,C24*$B$48,0)</f>
        <v>20000000</v>
      </c>
      <c r="O24" s="372">
        <f>(D24+E24+F24+G24)*$B$48+IF((G4-B24)*$B$48*C24&lt;C24,C24*$B$48,0)</f>
        <v>0</v>
      </c>
      <c r="P24" s="372">
        <f>(D24+E24+F24+G24+H24)*$B$48+IF((H4-B24)*$B$48*C24&lt;C24,C24*$B$48,0)</f>
        <v>0</v>
      </c>
      <c r="Q24" s="372">
        <f>(D24+E24+F24+G24+H24+I24)*$B$48+IF((I4-B24)*$B$48*C24&lt;C24,C24*$B$48,0)</f>
        <v>0</v>
      </c>
      <c r="R24" s="372">
        <f>(D24+F24+G24+H24+I24+J24)*$B$48+IF((J4-B24)*$B$48*C24&lt;C24,C24*$B$48,0)</f>
        <v>0</v>
      </c>
      <c r="T24" s="322">
        <f>C24+D24-L24</f>
        <v>40000000</v>
      </c>
      <c r="U24" s="9">
        <f>T24+E24-M24</f>
        <v>20000000</v>
      </c>
      <c r="V24">
        <f t="shared" ref="V24" si="29">U24+F24-N24</f>
        <v>0</v>
      </c>
      <c r="W24">
        <f t="shared" ref="W24" si="30">V24+G24-O24</f>
        <v>0</v>
      </c>
      <c r="X24">
        <f t="shared" ref="X24" si="31">W24+H24-P24</f>
        <v>0</v>
      </c>
      <c r="Y24">
        <f t="shared" ref="Y24" si="32">X24+I24-Q24</f>
        <v>0</v>
      </c>
      <c r="Z24">
        <f t="shared" ref="Z24" si="33">Y24+J24-R24</f>
        <v>0</v>
      </c>
    </row>
    <row r="25" spans="1:26" x14ac:dyDescent="0.25">
      <c r="A25" s="4" t="s">
        <v>167</v>
      </c>
      <c r="B25" s="4"/>
      <c r="C25" s="311">
        <f t="shared" ref="C25:J25" si="34">SUM(C20:C24)</f>
        <v>510000000</v>
      </c>
      <c r="D25" s="311">
        <f t="shared" si="34"/>
        <v>0</v>
      </c>
      <c r="E25" s="311">
        <f t="shared" si="34"/>
        <v>0</v>
      </c>
      <c r="F25" s="311">
        <f t="shared" si="34"/>
        <v>0</v>
      </c>
      <c r="G25" s="5">
        <f t="shared" si="34"/>
        <v>0</v>
      </c>
      <c r="H25" s="5">
        <f t="shared" si="34"/>
        <v>0</v>
      </c>
      <c r="I25" s="5">
        <f t="shared" si="34"/>
        <v>0</v>
      </c>
      <c r="J25" s="5">
        <f t="shared" si="34"/>
        <v>0</v>
      </c>
      <c r="L25" s="5">
        <f>SUM(L20:L24)</f>
        <v>153000000</v>
      </c>
      <c r="M25" s="5">
        <f>SUM(M20:M24)</f>
        <v>51000000</v>
      </c>
      <c r="N25" s="5">
        <f>SUM(N20:N24)</f>
        <v>51000000</v>
      </c>
      <c r="O25" s="5">
        <f>SUM(O20:O24)</f>
        <v>11000000</v>
      </c>
      <c r="P25" s="5">
        <f>SUM(P20:P24)</f>
        <v>11000000</v>
      </c>
      <c r="Q25" s="5">
        <f t="shared" ref="Q25:R25" si="35">SUM(Q20:Q24)</f>
        <v>11000000</v>
      </c>
      <c r="R25" s="5">
        <f t="shared" si="35"/>
        <v>11000000</v>
      </c>
      <c r="T25" s="5">
        <f t="shared" ref="T25:Z25" si="36">SUM(T20:T24)</f>
        <v>357000000</v>
      </c>
      <c r="U25" s="5">
        <f t="shared" si="36"/>
        <v>306000000</v>
      </c>
      <c r="V25" s="311">
        <f t="shared" si="36"/>
        <v>255000000</v>
      </c>
      <c r="W25" s="5">
        <f t="shared" si="36"/>
        <v>244000000</v>
      </c>
      <c r="X25" s="5">
        <f t="shared" si="36"/>
        <v>233000000</v>
      </c>
      <c r="Y25" s="5">
        <f t="shared" si="36"/>
        <v>222000000</v>
      </c>
      <c r="Z25" s="5">
        <f t="shared" si="36"/>
        <v>211000000</v>
      </c>
    </row>
    <row r="26" spans="1:26" x14ac:dyDescent="0.25">
      <c r="A26" s="3"/>
      <c r="B26" s="3"/>
      <c r="C26" s="3"/>
      <c r="D26" s="321"/>
      <c r="E26" s="317"/>
      <c r="F26" s="3"/>
      <c r="G26" s="3"/>
      <c r="H26" s="3"/>
      <c r="I26" s="3"/>
      <c r="J26" s="3"/>
      <c r="L26" s="321"/>
      <c r="M26" s="317"/>
      <c r="T26" s="321"/>
      <c r="U26" s="321"/>
    </row>
    <row r="27" spans="1:26" x14ac:dyDescent="0.25">
      <c r="A27" s="369" t="s">
        <v>178</v>
      </c>
      <c r="B27" s="2"/>
      <c r="C27" s="312">
        <f t="shared" ref="C27:J27" si="37">SUM(C11+C18+C25)</f>
        <v>696000000</v>
      </c>
      <c r="D27" s="312">
        <f t="shared" si="37"/>
        <v>0</v>
      </c>
      <c r="E27" s="312">
        <f t="shared" si="37"/>
        <v>0</v>
      </c>
      <c r="F27" s="312">
        <f t="shared" si="37"/>
        <v>0</v>
      </c>
      <c r="G27" s="6">
        <f t="shared" si="37"/>
        <v>0</v>
      </c>
      <c r="H27" s="6">
        <f t="shared" si="37"/>
        <v>0</v>
      </c>
      <c r="I27" s="6">
        <f t="shared" si="37"/>
        <v>0</v>
      </c>
      <c r="J27" s="6">
        <f t="shared" si="37"/>
        <v>0</v>
      </c>
      <c r="L27" s="6">
        <f>SUM(L11+L18+L25)</f>
        <v>222300000</v>
      </c>
      <c r="M27" s="6">
        <f>SUM(M11+M18+M25)</f>
        <v>74100000</v>
      </c>
      <c r="N27" s="6">
        <f>SUM(N11+N18+N25)</f>
        <v>66600000</v>
      </c>
      <c r="O27" s="6">
        <f>SUM(O11+O18+O25)</f>
        <v>26600000</v>
      </c>
      <c r="P27" s="6">
        <f>SUM(P11+P18+P25)</f>
        <v>26600000</v>
      </c>
      <c r="Q27" s="6">
        <f t="shared" ref="Q27:R27" si="38">SUM(Q11+Q18+Q25)</f>
        <v>26600000</v>
      </c>
      <c r="R27" s="6">
        <f t="shared" si="38"/>
        <v>26600000</v>
      </c>
      <c r="T27" s="6">
        <f t="shared" ref="T27:Z27" si="39">SUM(T11+T18+T25)</f>
        <v>473700000</v>
      </c>
      <c r="U27" s="6">
        <f t="shared" si="39"/>
        <v>399600000</v>
      </c>
      <c r="V27" s="312">
        <f t="shared" si="39"/>
        <v>333000000</v>
      </c>
      <c r="W27" s="6">
        <f t="shared" si="39"/>
        <v>306400000</v>
      </c>
      <c r="X27" s="6">
        <f t="shared" si="39"/>
        <v>279800000</v>
      </c>
      <c r="Y27" s="6">
        <f t="shared" si="39"/>
        <v>253200000</v>
      </c>
      <c r="Z27" s="6">
        <f t="shared" si="39"/>
        <v>226600000</v>
      </c>
    </row>
    <row r="28" spans="1:26" x14ac:dyDescent="0.25">
      <c r="A28" s="3"/>
      <c r="B28" s="3"/>
      <c r="C28" s="3"/>
      <c r="D28" s="321"/>
      <c r="E28" s="317"/>
      <c r="F28" s="3"/>
      <c r="G28" s="3"/>
      <c r="H28" s="3"/>
      <c r="I28" s="3"/>
      <c r="J28" s="3"/>
      <c r="L28" s="321"/>
      <c r="M28" s="317"/>
      <c r="T28" s="321"/>
      <c r="U28" s="321"/>
    </row>
    <row r="29" spans="1:26" ht="51" customHeight="1" x14ac:dyDescent="0.25">
      <c r="A29" s="369" t="s">
        <v>179</v>
      </c>
      <c r="B29" s="145">
        <v>2020</v>
      </c>
      <c r="C29" s="319">
        <v>10000000</v>
      </c>
      <c r="D29" s="319">
        <v>0</v>
      </c>
      <c r="E29" s="315">
        <v>0</v>
      </c>
      <c r="F29" s="311">
        <v>0</v>
      </c>
      <c r="G29" s="5">
        <v>0</v>
      </c>
      <c r="H29" s="5">
        <v>0</v>
      </c>
      <c r="I29" s="5">
        <v>0</v>
      </c>
      <c r="J29" s="5">
        <v>0</v>
      </c>
      <c r="L29" s="321">
        <f>((C29)*$B$52)*($L$4-B29+1)+ D29*$B$52</f>
        <v>6000000</v>
      </c>
      <c r="M29" s="372">
        <f>(D29+E29)*$B$52+IF((E4-B29)*$B$52*C29&lt;C29,C29*$B$52,0)</f>
        <v>2000000</v>
      </c>
      <c r="N29" s="372">
        <f>(D29+E29+F29)*$B$52+IF((F4-B29)*$B$52*C29&lt;C29,C29*$B$52,0)</f>
        <v>2000000</v>
      </c>
      <c r="O29" s="372">
        <f>(D29+E29+F29+G29)*$B$52+IF((G4-B29)*$B$52*C29&lt;C29,C29*$B$52,0)</f>
        <v>0</v>
      </c>
      <c r="P29" s="372">
        <f>(D29+E29+F29+G29+H29)*$B$52+IF((H4-B29)*$B$52*C29&lt;C29,C29*$B$52,0)</f>
        <v>0</v>
      </c>
      <c r="Q29" s="372">
        <f>(D29+E29+F29+G29+H29+I29)*$B$52+IF((I4-B29)*$B$52*C29&lt;C29,C29*$B$52,0)</f>
        <v>0</v>
      </c>
      <c r="R29" s="372">
        <f>(D29+F29+G29+H29+I29+J29)*$B$52+IF((J4-B29)*$B$52*C29&lt;C29,C29*$B$52,0)</f>
        <v>0</v>
      </c>
      <c r="T29" s="322">
        <f>C29+D29-L29</f>
        <v>4000000</v>
      </c>
      <c r="U29" s="9">
        <f>T29+E29-M29</f>
        <v>2000000</v>
      </c>
      <c r="V29">
        <f t="shared" ref="V29" si="40">U29+F29-N29</f>
        <v>0</v>
      </c>
      <c r="W29">
        <f t="shared" ref="W29" si="41">V29+G29-O29</f>
        <v>0</v>
      </c>
      <c r="X29">
        <f t="shared" ref="X29" si="42">W29+H29-P29</f>
        <v>0</v>
      </c>
      <c r="Y29">
        <f t="shared" ref="Y29" si="43">X29+I29-Q29</f>
        <v>0</v>
      </c>
      <c r="Z29">
        <f t="shared" ref="Z29" si="44">Y29+J29-R29</f>
        <v>0</v>
      </c>
    </row>
    <row r="30" spans="1:26" x14ac:dyDescent="0.25">
      <c r="A30" s="3"/>
      <c r="B30" s="3"/>
      <c r="C30" s="3"/>
      <c r="D30" s="321"/>
      <c r="E30" s="317"/>
      <c r="F30" s="3"/>
      <c r="G30" s="3"/>
      <c r="H30" s="3"/>
      <c r="I30" s="3"/>
      <c r="J30" s="3"/>
      <c r="L30" s="321"/>
      <c r="M30" s="317"/>
      <c r="T30" s="321"/>
      <c r="U30" s="321"/>
    </row>
    <row r="31" spans="1:26" ht="30" x14ac:dyDescent="0.25">
      <c r="A31" s="369" t="s">
        <v>180</v>
      </c>
      <c r="B31" s="145">
        <v>2020</v>
      </c>
      <c r="C31" s="319">
        <v>300000</v>
      </c>
      <c r="D31" s="319">
        <v>0</v>
      </c>
      <c r="E31" s="315">
        <v>0</v>
      </c>
      <c r="F31" s="311">
        <v>0</v>
      </c>
      <c r="G31" s="5"/>
      <c r="H31" s="5"/>
      <c r="I31" s="5"/>
      <c r="J31" s="5"/>
      <c r="L31" s="371">
        <f>((C31)*$B$54)*($L$4-B31+1)+ D31*$B$54</f>
        <v>300000</v>
      </c>
      <c r="M31" s="373">
        <f>(D31+E31)*$B$54+IF((E4-B31)*$B$54*C31&lt;C31,C31*$B$54,0)</f>
        <v>0</v>
      </c>
      <c r="N31" s="373">
        <f>(D31+E31+F31)*$B$54+IF((F4-B31)*$B$54*C31&lt;C31,C31*$B$54,0)</f>
        <v>0</v>
      </c>
      <c r="O31" s="373">
        <f>(D31+E31+F31+G31)*$B$54+IF((G4-B31)*$B$54*C31&lt;C31,C31*$B$54,0)</f>
        <v>0</v>
      </c>
      <c r="P31" s="373">
        <f>(D31+E31+F31+G31+H31)*$B$54+IF((H4-B31)*$B$54*C31&lt;C31,C31*$B$54,0)</f>
        <v>0</v>
      </c>
      <c r="Q31" s="373">
        <f>(D31+E31+F31+G31+H31+I31)*$B$54+IF((I4-B31)*$B$54*C31&lt;C31,C31*$B$54,0)</f>
        <v>0</v>
      </c>
      <c r="R31" s="373">
        <f>(D31+F31+G31+H31+I31+J31)*$B$54+IF((J4-B31)*$B$54*C31&lt;C31,C31*$B$54,0)</f>
        <v>0</v>
      </c>
      <c r="T31" s="322">
        <f>C31+D31-L31</f>
        <v>0</v>
      </c>
      <c r="U31" s="9">
        <f>T31+E31-M31</f>
        <v>0</v>
      </c>
      <c r="V31">
        <f t="shared" ref="V31" si="45">U31+F31-N31</f>
        <v>0</v>
      </c>
      <c r="W31">
        <f t="shared" ref="W31" si="46">V31+G31-O31</f>
        <v>0</v>
      </c>
      <c r="X31">
        <f t="shared" ref="X31" si="47">W31+H31-P31</f>
        <v>0</v>
      </c>
      <c r="Y31">
        <f t="shared" ref="Y31" si="48">X31+I31-Q31</f>
        <v>0</v>
      </c>
      <c r="Z31">
        <f t="shared" ref="Z31" si="49">Y31+J31-R31</f>
        <v>0</v>
      </c>
    </row>
    <row r="32" spans="1:26" ht="15.75" thickBot="1" x14ac:dyDescent="0.3">
      <c r="A32" s="3"/>
      <c r="B32" s="3"/>
      <c r="C32" s="3"/>
      <c r="D32" s="321"/>
      <c r="E32" s="317"/>
      <c r="F32" s="3"/>
      <c r="G32" s="3"/>
      <c r="H32" s="3"/>
      <c r="I32" s="3"/>
      <c r="J32" s="3"/>
      <c r="L32" s="321"/>
      <c r="M32" s="317"/>
      <c r="T32" s="321"/>
      <c r="U32" s="324"/>
    </row>
    <row r="33" spans="1:26" ht="19.5" thickBot="1" x14ac:dyDescent="0.35">
      <c r="A33" s="170" t="s">
        <v>181</v>
      </c>
      <c r="B33" s="3"/>
      <c r="C33" s="370">
        <f>C27+C29+C31</f>
        <v>706300000</v>
      </c>
      <c r="D33" s="313">
        <f>D27+D29+D31</f>
        <v>0</v>
      </c>
      <c r="E33" s="313">
        <f>E27+E29+E31</f>
        <v>0</v>
      </c>
      <c r="F33" s="313">
        <f>F27+F29+F31</f>
        <v>0</v>
      </c>
      <c r="G33" s="171">
        <f t="shared" ref="G33:X33" si="50">G27+G29+G31</f>
        <v>0</v>
      </c>
      <c r="H33" s="171">
        <f t="shared" si="50"/>
        <v>0</v>
      </c>
      <c r="I33" s="171">
        <f t="shared" ref="I33" si="51">I27+I29+I31</f>
        <v>0</v>
      </c>
      <c r="J33" s="171">
        <f t="shared" ref="J33" si="52">J27+J29+J31</f>
        <v>0</v>
      </c>
      <c r="K33" s="50"/>
      <c r="L33" s="171">
        <f t="shared" ref="L33:M33" si="53">L27+L29+L31</f>
        <v>228600000</v>
      </c>
      <c r="M33" s="313">
        <f t="shared" si="53"/>
        <v>76100000</v>
      </c>
      <c r="N33" s="171">
        <f t="shared" si="50"/>
        <v>68600000</v>
      </c>
      <c r="O33" s="171">
        <f t="shared" si="50"/>
        <v>26600000</v>
      </c>
      <c r="P33" s="171">
        <f t="shared" si="50"/>
        <v>26600000</v>
      </c>
      <c r="Q33" s="171">
        <f t="shared" ref="Q33:R33" si="54">Q27+Q29+Q31</f>
        <v>26600000</v>
      </c>
      <c r="R33" s="171">
        <f t="shared" si="54"/>
        <v>26600000</v>
      </c>
      <c r="S33" s="50"/>
      <c r="T33" s="171">
        <f t="shared" ref="T33:U33" si="55">T27+T29+T31</f>
        <v>477700000</v>
      </c>
      <c r="U33" s="313">
        <f t="shared" si="55"/>
        <v>401600000</v>
      </c>
      <c r="V33" s="171">
        <f t="shared" si="50"/>
        <v>333000000</v>
      </c>
      <c r="W33" s="171">
        <f t="shared" si="50"/>
        <v>306400000</v>
      </c>
      <c r="X33" s="171">
        <f t="shared" si="50"/>
        <v>279800000</v>
      </c>
      <c r="Y33" s="171">
        <f t="shared" ref="Y33:Z33" si="56">Y27+Y29+Y31</f>
        <v>253200000</v>
      </c>
      <c r="Z33" s="171">
        <f t="shared" si="56"/>
        <v>226600000</v>
      </c>
    </row>
    <row r="34" spans="1:2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26" ht="30" customHeight="1" x14ac:dyDescent="0.25">
      <c r="A35" s="88" t="s">
        <v>182</v>
      </c>
      <c r="B35" s="88"/>
      <c r="C35" s="88"/>
      <c r="D35" s="88"/>
      <c r="E35" s="88"/>
      <c r="F35" s="400" t="s">
        <v>183</v>
      </c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</row>
    <row r="36" spans="1:26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1:26" ht="30.75" customHeight="1" x14ac:dyDescent="0.25">
      <c r="A37" s="88" t="s">
        <v>184</v>
      </c>
      <c r="B37" s="88"/>
      <c r="C37" s="88"/>
      <c r="D37" s="88"/>
      <c r="E37" s="88"/>
      <c r="F37" s="400" t="s">
        <v>185</v>
      </c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</row>
    <row r="38" spans="1:26" ht="30.75" customHeight="1" x14ac:dyDescent="0.25">
      <c r="A38" s="88"/>
      <c r="B38" s="88"/>
      <c r="C38" s="88"/>
      <c r="D38" s="88"/>
      <c r="E38" s="88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</row>
    <row r="39" spans="1:2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26" x14ac:dyDescent="0.25">
      <c r="A40" s="107" t="s">
        <v>186</v>
      </c>
      <c r="B40" s="88"/>
      <c r="C40" s="88"/>
      <c r="D40" s="88"/>
      <c r="E40" s="88"/>
      <c r="F40" s="3"/>
      <c r="G40" s="3"/>
      <c r="H40" s="3"/>
      <c r="I40" s="3"/>
      <c r="J40" s="3"/>
    </row>
    <row r="41" spans="1:26" x14ac:dyDescent="0.25">
      <c r="A41" s="101" t="s">
        <v>187</v>
      </c>
      <c r="B41" s="102"/>
      <c r="C41" s="88"/>
      <c r="D41" s="88"/>
      <c r="E41" s="88"/>
      <c r="F41" s="3"/>
      <c r="G41" s="3"/>
      <c r="H41" s="3"/>
      <c r="I41" s="3"/>
      <c r="J41" s="3"/>
    </row>
    <row r="42" spans="1:26" x14ac:dyDescent="0.25">
      <c r="A42" s="103" t="s">
        <v>188</v>
      </c>
      <c r="B42" s="104">
        <v>0</v>
      </c>
      <c r="C42" s="308"/>
      <c r="D42" s="308"/>
      <c r="E42" s="308"/>
    </row>
    <row r="43" spans="1:26" x14ac:dyDescent="0.25">
      <c r="A43" s="103" t="s">
        <v>189</v>
      </c>
      <c r="B43" s="104">
        <v>0.05</v>
      </c>
      <c r="C43" s="308"/>
      <c r="D43" s="308"/>
      <c r="E43" s="308"/>
    </row>
    <row r="44" spans="1:26" x14ac:dyDescent="0.25">
      <c r="A44" s="103" t="s">
        <v>190</v>
      </c>
      <c r="B44" s="104">
        <v>0.1</v>
      </c>
      <c r="C44" s="308"/>
      <c r="D44" s="308"/>
      <c r="E44" s="308"/>
    </row>
    <row r="45" spans="1:26" x14ac:dyDescent="0.25">
      <c r="A45" s="103" t="s">
        <v>191</v>
      </c>
      <c r="B45" s="104">
        <v>0.1</v>
      </c>
      <c r="C45" s="308"/>
      <c r="D45" s="308"/>
      <c r="E45" s="308"/>
    </row>
    <row r="46" spans="1:26" x14ac:dyDescent="0.25">
      <c r="A46" s="103" t="s">
        <v>192</v>
      </c>
      <c r="B46" s="104">
        <v>0.1</v>
      </c>
      <c r="C46" s="308"/>
      <c r="D46" s="308"/>
      <c r="E46" s="308"/>
    </row>
    <row r="47" spans="1:26" x14ac:dyDescent="0.25">
      <c r="A47" s="103" t="s">
        <v>193</v>
      </c>
      <c r="B47" s="104">
        <v>0.1</v>
      </c>
      <c r="C47" s="308"/>
      <c r="D47" s="308"/>
      <c r="E47" s="308"/>
    </row>
    <row r="48" spans="1:26" x14ac:dyDescent="0.25">
      <c r="A48" s="103" t="s">
        <v>194</v>
      </c>
      <c r="B48" s="104">
        <v>0.2</v>
      </c>
      <c r="C48" s="308"/>
      <c r="D48" s="308"/>
      <c r="E48" s="308"/>
    </row>
    <row r="49" spans="1:5" x14ac:dyDescent="0.25">
      <c r="A49" s="103" t="s">
        <v>195</v>
      </c>
      <c r="B49" s="104">
        <v>0.25</v>
      </c>
      <c r="C49" s="308"/>
      <c r="D49" s="308"/>
      <c r="E49" s="308"/>
    </row>
    <row r="50" spans="1:5" x14ac:dyDescent="0.25">
      <c r="A50" s="105" t="s">
        <v>196</v>
      </c>
      <c r="B50" s="106">
        <v>0.25</v>
      </c>
      <c r="C50" s="308"/>
      <c r="D50" s="308"/>
      <c r="E50" s="308"/>
    </row>
    <row r="52" spans="1:5" x14ac:dyDescent="0.25">
      <c r="A52" s="172" t="s">
        <v>197</v>
      </c>
      <c r="B52" s="173">
        <v>0.2</v>
      </c>
      <c r="C52" s="308"/>
      <c r="D52" s="308"/>
      <c r="E52" s="308"/>
    </row>
    <row r="54" spans="1:5" x14ac:dyDescent="0.25">
      <c r="A54" s="172" t="s">
        <v>198</v>
      </c>
      <c r="B54" s="174">
        <v>0.33333333333333331</v>
      </c>
      <c r="C54" s="309"/>
      <c r="D54" s="309"/>
      <c r="E54" s="309"/>
    </row>
    <row r="56" spans="1:5" ht="15.75" x14ac:dyDescent="0.25">
      <c r="A56" s="120" t="s">
        <v>199</v>
      </c>
    </row>
  </sheetData>
  <mergeCells count="6">
    <mergeCell ref="F35:X35"/>
    <mergeCell ref="F37:X37"/>
    <mergeCell ref="D2:E2"/>
    <mergeCell ref="L2:M2"/>
    <mergeCell ref="T2:U2"/>
    <mergeCell ref="T3:U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1"/>
  <sheetViews>
    <sheetView zoomScale="78" zoomScaleNormal="7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6" sqref="F6"/>
    </sheetView>
  </sheetViews>
  <sheetFormatPr defaultRowHeight="15" x14ac:dyDescent="0.25"/>
  <cols>
    <col min="1" max="1" width="52.42578125" customWidth="1"/>
    <col min="2" max="5" width="20.85546875" customWidth="1"/>
    <col min="6" max="6" width="18" customWidth="1"/>
    <col min="7" max="7" width="13.7109375" customWidth="1"/>
    <col min="8" max="8" width="15.85546875" customWidth="1"/>
    <col min="9" max="9" width="11.42578125" customWidth="1"/>
    <col min="10" max="10" width="16.140625" customWidth="1"/>
    <col min="11" max="11" width="9.85546875" customWidth="1"/>
    <col min="12" max="12" width="17.7109375" customWidth="1"/>
    <col min="14" max="14" width="17" customWidth="1"/>
  </cols>
  <sheetData>
    <row r="1" spans="1:15" ht="18.75" x14ac:dyDescent="0.3">
      <c r="A1" s="25" t="s">
        <v>200</v>
      </c>
      <c r="B1" s="244" t="str">
        <f>'Sales &amp; Grossmargin forecast '!B1</f>
        <v>Drafted in UGX</v>
      </c>
      <c r="C1" s="25"/>
      <c r="D1" s="25"/>
      <c r="E1" s="25"/>
      <c r="F1" s="18"/>
      <c r="G1" s="18"/>
      <c r="I1" s="18"/>
      <c r="K1" s="18"/>
    </row>
    <row r="2" spans="1:15" ht="15.75" customHeight="1" x14ac:dyDescent="0.25">
      <c r="A2" s="18"/>
      <c r="B2" s="402" t="s">
        <v>201</v>
      </c>
      <c r="C2" s="403"/>
      <c r="D2" s="344" t="s">
        <v>88</v>
      </c>
      <c r="E2" s="344"/>
      <c r="F2" s="18"/>
      <c r="G2" s="18"/>
      <c r="I2" s="18"/>
      <c r="K2" s="18"/>
    </row>
    <row r="3" spans="1:15" ht="15.75" x14ac:dyDescent="0.25">
      <c r="A3" s="18"/>
      <c r="B3" s="292" t="s">
        <v>202</v>
      </c>
      <c r="C3" s="292" t="s">
        <v>203</v>
      </c>
      <c r="D3" s="292" t="s">
        <v>51</v>
      </c>
      <c r="E3" s="292" t="s">
        <v>52</v>
      </c>
      <c r="F3" s="353">
        <f>C4+1</f>
        <v>2024</v>
      </c>
      <c r="G3" s="354"/>
      <c r="H3" s="353">
        <f>F3+1</f>
        <v>2025</v>
      </c>
      <c r="I3" s="354"/>
      <c r="J3" s="353">
        <f>H3+1</f>
        <v>2026</v>
      </c>
      <c r="K3" s="354"/>
      <c r="L3" s="353">
        <f>J3+1</f>
        <v>2027</v>
      </c>
      <c r="M3" s="354"/>
      <c r="N3" s="353">
        <f>L3+1</f>
        <v>2028</v>
      </c>
      <c r="O3" s="354"/>
    </row>
    <row r="4" spans="1:15" ht="15.75" x14ac:dyDescent="0.25">
      <c r="A4" s="18"/>
      <c r="B4" s="363">
        <f>'Sales &amp; Grossmargin forecast '!C3</f>
        <v>2022</v>
      </c>
      <c r="C4" s="363">
        <f>'Sales &amp; Grossmargin forecast '!D3</f>
        <v>2023</v>
      </c>
      <c r="D4" s="333"/>
      <c r="E4" s="333"/>
      <c r="F4" s="405" t="s">
        <v>204</v>
      </c>
      <c r="G4" s="406"/>
      <c r="H4" s="345"/>
      <c r="I4" s="289"/>
      <c r="J4" s="345"/>
      <c r="K4" s="289"/>
      <c r="L4" s="345"/>
      <c r="M4" s="289"/>
      <c r="N4" s="345"/>
      <c r="O4" s="289"/>
    </row>
    <row r="5" spans="1:15" x14ac:dyDescent="0.25">
      <c r="B5" s="9"/>
      <c r="C5" s="9"/>
      <c r="D5" s="9"/>
      <c r="E5" s="9"/>
      <c r="F5" s="7" t="s">
        <v>205</v>
      </c>
      <c r="G5" s="12" t="s">
        <v>206</v>
      </c>
      <c r="H5" s="7" t="s">
        <v>205</v>
      </c>
      <c r="I5" s="12" t="s">
        <v>206</v>
      </c>
      <c r="J5" s="7" t="s">
        <v>205</v>
      </c>
      <c r="K5" s="12" t="s">
        <v>206</v>
      </c>
      <c r="L5" s="7" t="s">
        <v>205</v>
      </c>
      <c r="M5" s="12" t="s">
        <v>206</v>
      </c>
      <c r="N5" s="7" t="s">
        <v>205</v>
      </c>
      <c r="O5" s="12" t="s">
        <v>206</v>
      </c>
    </row>
    <row r="6" spans="1:15" x14ac:dyDescent="0.25">
      <c r="A6" t="s">
        <v>207</v>
      </c>
      <c r="B6" s="137">
        <f>'Sales &amp; Grossmargin forecast '!C30</f>
        <v>0</v>
      </c>
      <c r="C6" s="137">
        <f>'Sales &amp; Grossmargin forecast '!D30</f>
        <v>0</v>
      </c>
      <c r="D6" s="65">
        <f>'Sales &amp; Grossmargin forecast '!I30</f>
        <v>0</v>
      </c>
      <c r="E6" s="8">
        <f>'Sales &amp; Grossmargin forecast '!L30</f>
        <v>0</v>
      </c>
      <c r="F6" s="8">
        <f>'Sales &amp; Grossmargin forecast '!O30</f>
        <v>0</v>
      </c>
      <c r="G6" s="8">
        <v>100</v>
      </c>
      <c r="H6" s="8">
        <f>'Sales &amp; Grossmargin forecast '!P30</f>
        <v>0</v>
      </c>
      <c r="I6" s="8">
        <v>100</v>
      </c>
      <c r="J6" s="65">
        <f>'Sales &amp; Grossmargin forecast '!Q30</f>
        <v>0</v>
      </c>
      <c r="K6" s="8">
        <v>100</v>
      </c>
      <c r="L6" s="65">
        <f>'Sales &amp; Grossmargin forecast '!R30</f>
        <v>0</v>
      </c>
      <c r="M6" s="8">
        <v>100</v>
      </c>
      <c r="N6" s="65">
        <f>'Sales &amp; Grossmargin forecast '!S30</f>
        <v>0</v>
      </c>
      <c r="O6" s="8">
        <v>100</v>
      </c>
    </row>
    <row r="7" spans="1:15" x14ac:dyDescent="0.25">
      <c r="A7" t="s">
        <v>208</v>
      </c>
      <c r="B7" s="137"/>
      <c r="C7" s="137"/>
      <c r="D7" s="8">
        <v>0</v>
      </c>
      <c r="E7" s="8">
        <v>0</v>
      </c>
      <c r="F7" s="8">
        <v>0</v>
      </c>
      <c r="G7" s="26"/>
      <c r="H7" s="8">
        <v>0</v>
      </c>
      <c r="I7" s="26"/>
      <c r="J7" s="66">
        <v>0</v>
      </c>
      <c r="K7" s="26"/>
      <c r="L7" s="66">
        <v>0</v>
      </c>
      <c r="M7" s="26"/>
      <c r="N7" s="66">
        <v>0</v>
      </c>
      <c r="O7" s="26"/>
    </row>
    <row r="8" spans="1:15" x14ac:dyDescent="0.25">
      <c r="A8" t="s">
        <v>209</v>
      </c>
      <c r="B8" s="135">
        <f t="shared" ref="B8:C8" si="0">SUM(B6:B7)</f>
        <v>0</v>
      </c>
      <c r="C8" s="135">
        <f t="shared" si="0"/>
        <v>0</v>
      </c>
      <c r="D8" s="7">
        <f>SUM(D6:D7)</f>
        <v>0</v>
      </c>
      <c r="E8" s="7">
        <f>SUM(E6:E7)</f>
        <v>0</v>
      </c>
      <c r="F8" s="7">
        <f>SUM(F6:F7)</f>
        <v>0</v>
      </c>
      <c r="G8" s="9"/>
      <c r="H8" s="7">
        <f>SUM(H6:H7)</f>
        <v>0</v>
      </c>
      <c r="I8" s="9"/>
      <c r="J8" s="67">
        <f>SUM(J6:J7)</f>
        <v>0</v>
      </c>
      <c r="K8" s="9"/>
      <c r="L8" s="67">
        <f>SUM(L6:L7)</f>
        <v>0</v>
      </c>
      <c r="M8" s="9"/>
      <c r="N8" s="67">
        <f>SUM(N6:N7)</f>
        <v>0</v>
      </c>
      <c r="O8" s="9"/>
    </row>
    <row r="9" spans="1:15" x14ac:dyDescent="0.25">
      <c r="A9" t="s">
        <v>210</v>
      </c>
      <c r="B9" s="137">
        <f>'Sales &amp; Grossmargin forecast '!C31</f>
        <v>0</v>
      </c>
      <c r="C9" s="137">
        <f>'Sales &amp; Grossmargin forecast '!D31</f>
        <v>0</v>
      </c>
      <c r="D9" s="9">
        <f>'Sales &amp; Grossmargin forecast '!I31</f>
        <v>0</v>
      </c>
      <c r="E9" s="9">
        <f>'Sales &amp; Grossmargin forecast '!L31</f>
        <v>0</v>
      </c>
      <c r="F9" s="9">
        <f>'Sales &amp; Grossmargin forecast '!O31</f>
        <v>0</v>
      </c>
      <c r="G9" s="9"/>
      <c r="H9" s="9">
        <f>'Sales &amp; Grossmargin forecast '!P31</f>
        <v>0</v>
      </c>
      <c r="I9" s="9"/>
      <c r="J9" s="68">
        <f>'Sales &amp; Grossmargin forecast '!Q31</f>
        <v>0</v>
      </c>
      <c r="K9" s="9"/>
      <c r="L9" s="68">
        <f>'Sales &amp; Grossmargin forecast '!R31</f>
        <v>0</v>
      </c>
      <c r="M9" s="9"/>
      <c r="N9" s="68">
        <f>'Sales &amp; Grossmargin forecast '!S31</f>
        <v>0</v>
      </c>
      <c r="O9" s="9"/>
    </row>
    <row r="10" spans="1:15" x14ac:dyDescent="0.25">
      <c r="A10" t="s">
        <v>211</v>
      </c>
      <c r="B10" s="137"/>
      <c r="C10" s="137"/>
      <c r="D10" s="9"/>
      <c r="E10" s="9"/>
      <c r="F10" s="9"/>
      <c r="G10" s="9"/>
      <c r="H10" s="9"/>
      <c r="I10" s="9"/>
      <c r="J10" s="68"/>
      <c r="K10" s="9"/>
      <c r="L10" s="68"/>
      <c r="M10" s="9"/>
      <c r="N10" s="68"/>
      <c r="O10" s="9"/>
    </row>
    <row r="11" spans="1:15" x14ac:dyDescent="0.25">
      <c r="A11" t="s">
        <v>212</v>
      </c>
      <c r="B11" s="135">
        <f t="shared" ref="B11:C11" si="1">SUM(B9:B10)</f>
        <v>0</v>
      </c>
      <c r="C11" s="135">
        <f t="shared" si="1"/>
        <v>0</v>
      </c>
      <c r="D11" s="7">
        <f>SUM(D9:D10)</f>
        <v>0</v>
      </c>
      <c r="E11" s="7">
        <f>SUM(E9:E10)</f>
        <v>0</v>
      </c>
      <c r="F11" s="7">
        <f>SUM(F9:F10)</f>
        <v>0</v>
      </c>
      <c r="G11" s="24" t="e">
        <f>(F11/$F$6)*100</f>
        <v>#DIV/0!</v>
      </c>
      <c r="H11" s="7">
        <f>SUM(H9:H10)</f>
        <v>0</v>
      </c>
      <c r="I11" s="24" t="e">
        <f>(H11/$H$6)*100</f>
        <v>#DIV/0!</v>
      </c>
      <c r="J11" s="67">
        <f>SUM(J9:J10)</f>
        <v>0</v>
      </c>
      <c r="K11" s="24" t="e">
        <f>(J11/$J$6)*100</f>
        <v>#DIV/0!</v>
      </c>
      <c r="L11" s="67">
        <f>SUM(L9:L10)</f>
        <v>0</v>
      </c>
      <c r="M11" s="24" t="e">
        <f>(L11/$J$6)*100</f>
        <v>#DIV/0!</v>
      </c>
      <c r="N11" s="67">
        <f>SUM(N9:N10)</f>
        <v>0</v>
      </c>
      <c r="O11" s="24" t="e">
        <f>(N11/$J$6)*100</f>
        <v>#DIV/0!</v>
      </c>
    </row>
    <row r="12" spans="1:15" x14ac:dyDescent="0.25">
      <c r="A12" s="23" t="s">
        <v>59</v>
      </c>
      <c r="B12" s="135">
        <f t="shared" ref="B12:C12" si="2">B8-B11</f>
        <v>0</v>
      </c>
      <c r="C12" s="135">
        <f t="shared" si="2"/>
        <v>0</v>
      </c>
      <c r="D12" s="7">
        <f>D8-D11</f>
        <v>0</v>
      </c>
      <c r="E12" s="7">
        <f>E8-E11</f>
        <v>0</v>
      </c>
      <c r="F12" s="7">
        <f>F8-F11</f>
        <v>0</v>
      </c>
      <c r="G12" s="24" t="e">
        <f>(F12/$F$6)*100</f>
        <v>#DIV/0!</v>
      </c>
      <c r="H12" s="7">
        <f>H8-H11</f>
        <v>0</v>
      </c>
      <c r="I12" s="24" t="e">
        <f>(H12/$H$6)*100</f>
        <v>#DIV/0!</v>
      </c>
      <c r="J12" s="67">
        <f>J8-J11</f>
        <v>0</v>
      </c>
      <c r="K12" s="24" t="e">
        <f>(J12/$J$6)*100</f>
        <v>#DIV/0!</v>
      </c>
      <c r="L12" s="67">
        <f>L8-L11</f>
        <v>0</v>
      </c>
      <c r="M12" s="24" t="e">
        <f>(L12/$J$6)*100</f>
        <v>#DIV/0!</v>
      </c>
      <c r="N12" s="67">
        <f>N8-N11</f>
        <v>0</v>
      </c>
      <c r="O12" s="24" t="e">
        <f>(N12/$J$6)*100</f>
        <v>#DIV/0!</v>
      </c>
    </row>
    <row r="13" spans="1:15" x14ac:dyDescent="0.25">
      <c r="B13" s="137"/>
      <c r="C13" s="137"/>
      <c r="D13" s="9"/>
      <c r="E13" s="9"/>
      <c r="F13" s="9"/>
      <c r="G13" s="24"/>
      <c r="H13" s="9"/>
      <c r="I13" s="9"/>
      <c r="J13" s="68"/>
      <c r="K13" s="9"/>
      <c r="L13" s="68"/>
      <c r="M13" s="9"/>
      <c r="N13" s="68"/>
      <c r="O13" s="9"/>
    </row>
    <row r="14" spans="1:15" x14ac:dyDescent="0.25">
      <c r="A14" t="s">
        <v>213</v>
      </c>
      <c r="B14" s="137"/>
      <c r="C14" s="137"/>
      <c r="D14" s="9">
        <f>'Detail expenses '!D10</f>
        <v>0</v>
      </c>
      <c r="E14" s="9">
        <f>'Detail expenses '!E10</f>
        <v>0</v>
      </c>
      <c r="F14" s="9">
        <f>'Detail expenses '!F10</f>
        <v>0</v>
      </c>
      <c r="G14" s="24"/>
      <c r="H14" s="9">
        <f>'Detail expenses '!G10</f>
        <v>0</v>
      </c>
      <c r="I14" s="9"/>
      <c r="J14" s="68">
        <f>'Detail expenses '!H10</f>
        <v>0</v>
      </c>
      <c r="K14" s="9"/>
      <c r="L14" s="68">
        <f>'Detail expenses '!I10</f>
        <v>0</v>
      </c>
      <c r="M14" s="9"/>
      <c r="N14" s="68">
        <f>'Detail expenses '!J10</f>
        <v>0</v>
      </c>
      <c r="O14" s="9"/>
    </row>
    <row r="15" spans="1:15" x14ac:dyDescent="0.25">
      <c r="A15" t="s">
        <v>95</v>
      </c>
      <c r="B15" s="137"/>
      <c r="C15" s="137"/>
      <c r="D15" s="9">
        <f>'Detail expenses '!D30</f>
        <v>0</v>
      </c>
      <c r="E15" s="9">
        <f>'Detail expenses '!E30</f>
        <v>0</v>
      </c>
      <c r="F15" s="9">
        <f>'Detail expenses '!F30</f>
        <v>0</v>
      </c>
      <c r="G15" s="24"/>
      <c r="H15" s="9">
        <f>'Detail expenses '!G30</f>
        <v>0</v>
      </c>
      <c r="I15" s="9"/>
      <c r="J15" s="68">
        <f>'Detail expenses '!H30</f>
        <v>0</v>
      </c>
      <c r="K15" s="9"/>
      <c r="L15" s="68">
        <f>'Detail expenses '!I30</f>
        <v>0</v>
      </c>
      <c r="M15" s="9"/>
      <c r="N15" s="68">
        <f>'Detail expenses '!J30</f>
        <v>0</v>
      </c>
      <c r="O15" s="9"/>
    </row>
    <row r="16" spans="1:15" x14ac:dyDescent="0.25">
      <c r="A16" t="s">
        <v>107</v>
      </c>
      <c r="B16" s="137"/>
      <c r="C16" s="137"/>
      <c r="D16" s="9">
        <f>'Detail expenses '!D38</f>
        <v>0</v>
      </c>
      <c r="E16" s="9">
        <f>'Detail expenses '!E38</f>
        <v>0</v>
      </c>
      <c r="F16" s="9">
        <f>'Detail expenses '!F38</f>
        <v>0</v>
      </c>
      <c r="G16" s="24"/>
      <c r="H16" s="9">
        <f>'Detail expenses '!G38</f>
        <v>0</v>
      </c>
      <c r="I16" s="9"/>
      <c r="J16" s="68">
        <f>'Detail expenses '!H38</f>
        <v>0</v>
      </c>
      <c r="K16" s="9"/>
      <c r="L16" s="68">
        <f>'Detail expenses '!I38</f>
        <v>0</v>
      </c>
      <c r="M16" s="9"/>
      <c r="N16" s="68">
        <f>'Detail expenses '!J38</f>
        <v>0</v>
      </c>
      <c r="O16" s="9"/>
    </row>
    <row r="17" spans="1:15" x14ac:dyDescent="0.25">
      <c r="A17" t="s">
        <v>116</v>
      </c>
      <c r="B17" s="137"/>
      <c r="C17" s="137"/>
      <c r="D17" s="9">
        <f>'Detail expenses '!D43</f>
        <v>0</v>
      </c>
      <c r="E17" s="9">
        <f>'Detail expenses '!E43</f>
        <v>0</v>
      </c>
      <c r="F17" s="9">
        <f>'Detail expenses '!F43</f>
        <v>0</v>
      </c>
      <c r="G17" s="24"/>
      <c r="H17" s="9">
        <f>'Detail expenses '!G43</f>
        <v>0</v>
      </c>
      <c r="I17" s="9"/>
      <c r="J17" s="68">
        <f>'Detail expenses '!H43</f>
        <v>0</v>
      </c>
      <c r="K17" s="9"/>
      <c r="L17" s="68">
        <f>'Detail expenses '!I43</f>
        <v>0</v>
      </c>
      <c r="M17" s="9"/>
      <c r="N17" s="68">
        <f>'Detail expenses '!J43</f>
        <v>0</v>
      </c>
      <c r="O17" s="9"/>
    </row>
    <row r="18" spans="1:15" x14ac:dyDescent="0.25">
      <c r="A18" t="s">
        <v>214</v>
      </c>
      <c r="B18" s="137"/>
      <c r="C18" s="137"/>
      <c r="D18" s="9">
        <f>'Detail expenses '!D49</f>
        <v>0</v>
      </c>
      <c r="E18" s="9">
        <f>'Detail expenses '!E49</f>
        <v>0</v>
      </c>
      <c r="F18" s="9">
        <f>'Detail expenses '!F49</f>
        <v>0</v>
      </c>
      <c r="G18" s="24"/>
      <c r="H18" s="9">
        <f>'Detail expenses '!G49</f>
        <v>0</v>
      </c>
      <c r="I18" s="9"/>
      <c r="J18" s="68">
        <f>'Detail expenses '!H49</f>
        <v>0</v>
      </c>
      <c r="K18" s="9"/>
      <c r="L18" s="68">
        <f>'Detail expenses '!I49</f>
        <v>0</v>
      </c>
      <c r="M18" s="9"/>
      <c r="N18" s="68">
        <f>'Detail expenses '!J49</f>
        <v>0</v>
      </c>
      <c r="O18" s="9"/>
    </row>
    <row r="19" spans="1:15" x14ac:dyDescent="0.25">
      <c r="A19" t="s">
        <v>215</v>
      </c>
      <c r="B19" s="137"/>
      <c r="C19" s="137"/>
      <c r="D19" s="9">
        <f>'Detail expenses '!D54</f>
        <v>0</v>
      </c>
      <c r="E19" s="9">
        <f>'Detail expenses '!E54</f>
        <v>0</v>
      </c>
      <c r="F19" s="9">
        <f>'Detail expenses '!F54</f>
        <v>0</v>
      </c>
      <c r="G19" s="24"/>
      <c r="H19" s="9">
        <f>'Detail expenses '!G54</f>
        <v>0</v>
      </c>
      <c r="I19" s="9"/>
      <c r="J19" s="68">
        <f>'Detail expenses '!H54</f>
        <v>0</v>
      </c>
      <c r="K19" s="9"/>
      <c r="L19" s="68">
        <f>'Detail expenses '!I54</f>
        <v>0</v>
      </c>
      <c r="M19" s="9"/>
      <c r="N19" s="68">
        <f>'Detail expenses '!J54</f>
        <v>0</v>
      </c>
      <c r="O19" s="9"/>
    </row>
    <row r="20" spans="1:15" x14ac:dyDescent="0.25">
      <c r="A20" t="s">
        <v>216</v>
      </c>
      <c r="B20" s="137"/>
      <c r="C20" s="137"/>
      <c r="D20" s="9">
        <f>'Detail expenses '!D64</f>
        <v>0</v>
      </c>
      <c r="E20" s="9">
        <f>'Detail expenses '!E64</f>
        <v>0</v>
      </c>
      <c r="F20" s="9">
        <f>'Detail expenses '!F64</f>
        <v>0</v>
      </c>
      <c r="G20" s="24"/>
      <c r="H20" s="9">
        <f>'Detail expenses '!G64</f>
        <v>0</v>
      </c>
      <c r="I20" s="9"/>
      <c r="J20" s="68">
        <f>'Detail expenses '!H64</f>
        <v>0</v>
      </c>
      <c r="K20" s="9"/>
      <c r="L20" s="68">
        <f>'Detail expenses '!I64</f>
        <v>0</v>
      </c>
      <c r="M20" s="9"/>
      <c r="N20" s="68">
        <f>'Detail expenses '!J64</f>
        <v>0</v>
      </c>
      <c r="O20" s="9"/>
    </row>
    <row r="21" spans="1:15" x14ac:dyDescent="0.25">
      <c r="A21" t="s">
        <v>217</v>
      </c>
      <c r="B21" s="137">
        <f>'Detail expenses '!B66</f>
        <v>0</v>
      </c>
      <c r="C21" s="137">
        <f>'Detail expenses '!C66</f>
        <v>0</v>
      </c>
      <c r="D21" s="9">
        <f>SUM(D14:D20)</f>
        <v>0</v>
      </c>
      <c r="E21" s="9">
        <f>SUM(E14:E20)</f>
        <v>0</v>
      </c>
      <c r="F21" s="9">
        <f>SUM(F14:F20)</f>
        <v>0</v>
      </c>
      <c r="G21" s="24"/>
      <c r="H21" s="9">
        <f>SUM(H14:H20)</f>
        <v>0</v>
      </c>
      <c r="I21" s="9"/>
      <c r="J21" s="68">
        <f>SUM(J14:J20)</f>
        <v>0</v>
      </c>
      <c r="K21" s="9"/>
      <c r="L21" s="68">
        <f>SUM(L14:L20)</f>
        <v>0</v>
      </c>
      <c r="M21" s="9"/>
      <c r="N21" s="68">
        <f>SUM(N14:N20)</f>
        <v>0</v>
      </c>
      <c r="O21" s="9"/>
    </row>
    <row r="22" spans="1:15" x14ac:dyDescent="0.25">
      <c r="A22" s="23" t="s">
        <v>218</v>
      </c>
      <c r="B22" s="135">
        <f>B12-B21</f>
        <v>0</v>
      </c>
      <c r="C22" s="135">
        <f>C12-C21</f>
        <v>0</v>
      </c>
      <c r="D22" s="7">
        <f>D12-D21</f>
        <v>0</v>
      </c>
      <c r="E22" s="7">
        <f>E12-E21</f>
        <v>0</v>
      </c>
      <c r="F22" s="7">
        <f>F12-F21</f>
        <v>0</v>
      </c>
      <c r="G22" s="24" t="e">
        <f>(F22/$F$6)*100</f>
        <v>#DIV/0!</v>
      </c>
      <c r="H22" s="7">
        <f>H12-H21</f>
        <v>0</v>
      </c>
      <c r="I22" s="24" t="e">
        <f>(H22/$H$6)*100</f>
        <v>#DIV/0!</v>
      </c>
      <c r="J22" s="67">
        <f>J12-J21</f>
        <v>0</v>
      </c>
      <c r="K22" s="24" t="e">
        <f>(J22/$J$6)*100</f>
        <v>#DIV/0!</v>
      </c>
      <c r="L22" s="67">
        <f>L12-L21</f>
        <v>0</v>
      </c>
      <c r="M22" s="24" t="e">
        <f>(L22/$J$6)*100</f>
        <v>#DIV/0!</v>
      </c>
      <c r="N22" s="67">
        <f>N12-N21</f>
        <v>0</v>
      </c>
      <c r="O22" s="24" t="e">
        <f>(N22/$J$6)*100</f>
        <v>#DIV/0!</v>
      </c>
    </row>
    <row r="23" spans="1:15" x14ac:dyDescent="0.25">
      <c r="B23" s="137"/>
      <c r="C23" s="137"/>
      <c r="D23" s="9"/>
      <c r="E23" s="9"/>
      <c r="F23" s="9"/>
      <c r="G23" s="24"/>
      <c r="H23" s="9"/>
      <c r="I23" s="9"/>
      <c r="J23" s="68"/>
      <c r="K23" s="9"/>
      <c r="L23" s="68"/>
      <c r="M23" s="9"/>
      <c r="N23" s="68"/>
      <c r="O23" s="9"/>
    </row>
    <row r="24" spans="1:15" x14ac:dyDescent="0.25">
      <c r="A24" t="s">
        <v>219</v>
      </c>
      <c r="B24" s="137">
        <f>Investments!L33</f>
        <v>228600000</v>
      </c>
      <c r="C24" s="137">
        <f>Investments!M33</f>
        <v>76100000</v>
      </c>
      <c r="D24" s="9">
        <f>F24/2</f>
        <v>34300000</v>
      </c>
      <c r="E24" s="9">
        <f>F24/2</f>
        <v>34300000</v>
      </c>
      <c r="F24" s="9">
        <f>Investments!N33</f>
        <v>68600000</v>
      </c>
      <c r="G24" s="24"/>
      <c r="H24" s="9">
        <f>Investments!O33</f>
        <v>26600000</v>
      </c>
      <c r="I24" s="9"/>
      <c r="J24" s="68">
        <f>Investments!P33</f>
        <v>26600000</v>
      </c>
      <c r="K24" s="9"/>
      <c r="L24" s="68">
        <f>Investments!Q33</f>
        <v>26600000</v>
      </c>
      <c r="M24" s="9"/>
      <c r="N24" s="68">
        <f>Investments!R33</f>
        <v>26600000</v>
      </c>
      <c r="O24" s="9"/>
    </row>
    <row r="25" spans="1:15" x14ac:dyDescent="0.25">
      <c r="A25" s="23" t="s">
        <v>220</v>
      </c>
      <c r="B25" s="135">
        <f>B22-B24</f>
        <v>-228600000</v>
      </c>
      <c r="C25" s="135">
        <f>C22-C24</f>
        <v>-76100000</v>
      </c>
      <c r="D25" s="7">
        <f>D22-D24</f>
        <v>-34300000</v>
      </c>
      <c r="E25" s="7">
        <f>E22-E24</f>
        <v>-34300000</v>
      </c>
      <c r="F25" s="7">
        <f>F22-F24</f>
        <v>-68600000</v>
      </c>
      <c r="G25" s="24" t="e">
        <f>(F25/$F$6)*100</f>
        <v>#DIV/0!</v>
      </c>
      <c r="H25" s="7">
        <f>H22-H24</f>
        <v>-26600000</v>
      </c>
      <c r="I25" s="24" t="e">
        <f>(H25/$H$6)*100</f>
        <v>#DIV/0!</v>
      </c>
      <c r="J25" s="67">
        <f>J22-J24</f>
        <v>-26600000</v>
      </c>
      <c r="K25" s="24" t="e">
        <f>(J25/$J$6)*100</f>
        <v>#DIV/0!</v>
      </c>
      <c r="L25" s="67">
        <f>L22-L24</f>
        <v>-26600000</v>
      </c>
      <c r="M25" s="24" t="e">
        <f>(L25/$J$6)*100</f>
        <v>#DIV/0!</v>
      </c>
      <c r="N25" s="67">
        <f>N22-N24</f>
        <v>-26600000</v>
      </c>
      <c r="O25" s="24" t="e">
        <f>(N25/$J$6)*100</f>
        <v>#DIV/0!</v>
      </c>
    </row>
    <row r="26" spans="1:15" x14ac:dyDescent="0.25">
      <c r="B26" s="137"/>
      <c r="C26" s="137"/>
      <c r="D26" s="9"/>
      <c r="E26" s="9"/>
      <c r="F26" s="9"/>
      <c r="G26" s="24"/>
      <c r="H26" s="9"/>
      <c r="I26" s="9"/>
      <c r="J26" s="68"/>
      <c r="K26" s="9"/>
      <c r="L26" s="68"/>
      <c r="M26" s="9"/>
      <c r="N26" s="68"/>
      <c r="O26" s="9"/>
    </row>
    <row r="27" spans="1:15" x14ac:dyDescent="0.25">
      <c r="A27" t="s">
        <v>221</v>
      </c>
      <c r="B27" s="137">
        <v>0</v>
      </c>
      <c r="C27" s="137">
        <v>0</v>
      </c>
      <c r="D27" s="9">
        <f>-'Financing sources'!D44</f>
        <v>0</v>
      </c>
      <c r="E27" s="9">
        <f>-'Financing sources'!E44</f>
        <v>0</v>
      </c>
      <c r="F27" s="9">
        <f>-('Financing sources'!D44+'Financing sources'!E44)</f>
        <v>0</v>
      </c>
      <c r="G27" s="24"/>
      <c r="H27" s="9">
        <f>-('Financing sources'!F44+'Financing sources'!G44)</f>
        <v>0</v>
      </c>
      <c r="I27" s="9"/>
      <c r="J27" s="9">
        <f>-('Financing sources'!H44+'Financing sources'!I44)</f>
        <v>0</v>
      </c>
      <c r="K27" s="9"/>
      <c r="L27" s="9">
        <f>-('Financing sources'!J44+'Financing sources'!K44)</f>
        <v>0</v>
      </c>
      <c r="M27" s="9"/>
      <c r="N27" s="9">
        <f>-('Financing sources'!L44+'Financing sources'!M44)</f>
        <v>0</v>
      </c>
      <c r="O27" s="9"/>
    </row>
    <row r="28" spans="1:15" x14ac:dyDescent="0.25">
      <c r="A28" t="s">
        <v>222</v>
      </c>
      <c r="B28" s="137">
        <v>0</v>
      </c>
      <c r="C28" s="137">
        <v>0</v>
      </c>
      <c r="D28" s="9"/>
      <c r="E28" s="9"/>
      <c r="F28" s="9"/>
      <c r="G28" s="24"/>
      <c r="H28" s="9"/>
      <c r="I28" s="9"/>
      <c r="J28" s="68"/>
      <c r="K28" s="9"/>
      <c r="L28" s="68"/>
      <c r="M28" s="9"/>
      <c r="N28" s="68"/>
      <c r="O28" s="9"/>
    </row>
    <row r="29" spans="1:15" x14ac:dyDescent="0.25">
      <c r="A29" s="23" t="s">
        <v>223</v>
      </c>
      <c r="B29" s="135">
        <f>B25+B27-B28</f>
        <v>-228600000</v>
      </c>
      <c r="C29" s="135">
        <f t="shared" ref="C29" si="3">C25+C27-C28</f>
        <v>-76100000</v>
      </c>
      <c r="D29" s="67">
        <f>D25+D27-D28</f>
        <v>-34300000</v>
      </c>
      <c r="E29" s="67">
        <f>E25+E27-E28</f>
        <v>-34300000</v>
      </c>
      <c r="F29" s="67">
        <f>F25+F27-F28</f>
        <v>-68600000</v>
      </c>
      <c r="G29" s="68" t="e">
        <f>(F29/$F$6)*100</f>
        <v>#DIV/0!</v>
      </c>
      <c r="H29" s="67">
        <f>H25+H27-H28</f>
        <v>-26600000</v>
      </c>
      <c r="I29" s="68" t="e">
        <f>(H29/$H$6)*100</f>
        <v>#DIV/0!</v>
      </c>
      <c r="J29" s="67">
        <f>J25+J27-J28</f>
        <v>-26600000</v>
      </c>
      <c r="K29" s="68" t="e">
        <f>(J29/$J$6)*100</f>
        <v>#DIV/0!</v>
      </c>
      <c r="L29" s="67">
        <f>L25+L27-L28</f>
        <v>-26600000</v>
      </c>
      <c r="M29" s="68" t="e">
        <f>(L29/$J$6)*100</f>
        <v>#DIV/0!</v>
      </c>
      <c r="N29" s="67">
        <f>N25+N27-N28</f>
        <v>-26600000</v>
      </c>
      <c r="O29" s="24" t="e">
        <f>(N29/$J$6)*100</f>
        <v>#DIV/0!</v>
      </c>
    </row>
    <row r="30" spans="1:15" x14ac:dyDescent="0.25">
      <c r="B30" s="137"/>
      <c r="C30" s="137"/>
      <c r="D30" s="9"/>
      <c r="E30" s="9"/>
      <c r="F30" s="9"/>
      <c r="G30" s="24"/>
      <c r="H30" s="9"/>
      <c r="I30" s="9"/>
      <c r="J30" s="68"/>
      <c r="K30" s="9"/>
      <c r="L30" s="68"/>
      <c r="M30" s="9"/>
      <c r="N30" s="68"/>
      <c r="O30" s="9"/>
    </row>
    <row r="31" spans="1:15" x14ac:dyDescent="0.25">
      <c r="A31" t="s">
        <v>224</v>
      </c>
      <c r="B31" s="337">
        <f>MAX(B29*$B$68,0)</f>
        <v>0</v>
      </c>
      <c r="C31" s="337">
        <f>MAX(C29*$B$68,0)</f>
        <v>0</v>
      </c>
      <c r="D31" s="68">
        <f>MAX(D29*$B$68,0)</f>
        <v>0</v>
      </c>
      <c r="E31" s="68">
        <f>MAX(E29*$B$68,0)</f>
        <v>0</v>
      </c>
      <c r="F31" s="68">
        <f>MAX(F29*$B$68,0)</f>
        <v>0</v>
      </c>
      <c r="G31" s="68"/>
      <c r="H31" s="68">
        <f>MAX(H29*$B$68,0)</f>
        <v>0</v>
      </c>
      <c r="I31" s="68"/>
      <c r="J31" s="68">
        <f>MAX(J29*$B$68,0)</f>
        <v>0</v>
      </c>
      <c r="K31" s="68"/>
      <c r="L31" s="68">
        <f>MAX(L29*$B$68,0)</f>
        <v>0</v>
      </c>
      <c r="M31" s="68"/>
      <c r="N31" s="68">
        <f>MAX(N29*$B$68,0)</f>
        <v>0</v>
      </c>
      <c r="O31" s="9"/>
    </row>
    <row r="32" spans="1:15" ht="20.25" customHeight="1" x14ac:dyDescent="0.3">
      <c r="A32" s="332" t="s">
        <v>225</v>
      </c>
      <c r="B32" s="338">
        <f>B29-B31</f>
        <v>-228600000</v>
      </c>
      <c r="C32" s="338">
        <f>C29-C31</f>
        <v>-76100000</v>
      </c>
      <c r="D32" s="69">
        <f>D29-D31</f>
        <v>-34300000</v>
      </c>
      <c r="E32" s="69">
        <f>E29-E31</f>
        <v>-34300000</v>
      </c>
      <c r="F32" s="69">
        <f>F29-F31</f>
        <v>-68600000</v>
      </c>
      <c r="G32" s="11" t="e">
        <f>(F32/$F$6)*100</f>
        <v>#DIV/0!</v>
      </c>
      <c r="H32" s="69">
        <f>H29-H31</f>
        <v>-26600000</v>
      </c>
      <c r="I32" s="52" t="e">
        <f>(H32/$H$6)*100</f>
        <v>#DIV/0!</v>
      </c>
      <c r="J32" s="69">
        <f>J29-J31</f>
        <v>-26600000</v>
      </c>
      <c r="K32" s="52" t="e">
        <f>(J32/$J$6)*100</f>
        <v>#DIV/0!</v>
      </c>
      <c r="L32" s="69">
        <f>L29-L31</f>
        <v>-26600000</v>
      </c>
      <c r="M32" s="52" t="e">
        <f>(L32/$J$6)*100</f>
        <v>#DIV/0!</v>
      </c>
      <c r="N32" s="69">
        <f>N29-N31</f>
        <v>-26600000</v>
      </c>
      <c r="O32" s="52" t="e">
        <f>(N32/$J$6)*100</f>
        <v>#DIV/0!</v>
      </c>
    </row>
    <row r="33" spans="1:14" ht="20.25" customHeight="1" x14ac:dyDescent="0.3">
      <c r="A33" s="25"/>
      <c r="B33" s="25"/>
      <c r="C33" s="25"/>
      <c r="D33" s="25"/>
      <c r="E33" s="25"/>
      <c r="F33" s="80"/>
      <c r="G33" s="81"/>
      <c r="H33" s="25"/>
      <c r="I33" s="81"/>
      <c r="J33" s="82"/>
      <c r="K33" s="81"/>
    </row>
    <row r="34" spans="1:14" ht="20.25" customHeight="1" x14ac:dyDescent="0.3">
      <c r="A34" s="25" t="s">
        <v>226</v>
      </c>
      <c r="B34" s="25"/>
      <c r="C34" s="25"/>
      <c r="D34" s="25"/>
      <c r="E34" s="25"/>
      <c r="F34" s="80"/>
      <c r="G34" s="81"/>
      <c r="H34" s="25"/>
      <c r="I34" s="81"/>
      <c r="J34" s="82"/>
      <c r="K34" s="81"/>
    </row>
    <row r="36" spans="1:14" ht="20.25" customHeight="1" x14ac:dyDescent="0.3">
      <c r="A36" s="25" t="s">
        <v>227</v>
      </c>
      <c r="B36" s="329"/>
      <c r="C36" s="340">
        <v>0</v>
      </c>
      <c r="D36" s="84">
        <f>C54</f>
        <v>0</v>
      </c>
      <c r="E36" s="84">
        <f>D54</f>
        <v>34300000</v>
      </c>
      <c r="F36" s="82">
        <f>D36</f>
        <v>0</v>
      </c>
      <c r="G36" s="81"/>
      <c r="H36" s="79">
        <f>F54</f>
        <v>34300000</v>
      </c>
      <c r="I36" s="81"/>
      <c r="J36" s="82">
        <f>H54</f>
        <v>34300000</v>
      </c>
      <c r="K36" s="81"/>
      <c r="L36" s="82">
        <f>J54</f>
        <v>34300000</v>
      </c>
      <c r="N36" s="82">
        <f>L54</f>
        <v>34300000</v>
      </c>
    </row>
    <row r="37" spans="1:14" ht="20.25" customHeight="1" x14ac:dyDescent="0.3">
      <c r="A37" s="25" t="s">
        <v>228</v>
      </c>
      <c r="B37" s="341">
        <f t="shared" ref="B37:E37" si="4">B32+B24</f>
        <v>0</v>
      </c>
      <c r="C37" s="341">
        <f t="shared" si="4"/>
        <v>0</v>
      </c>
      <c r="D37" s="330">
        <f t="shared" si="4"/>
        <v>0</v>
      </c>
      <c r="E37" s="330">
        <f t="shared" si="4"/>
        <v>0</v>
      </c>
      <c r="F37" s="336">
        <f>F32+F24+F31</f>
        <v>0</v>
      </c>
      <c r="G37" s="81"/>
      <c r="H37" s="90">
        <f>H32+H24+H31-F31</f>
        <v>0</v>
      </c>
      <c r="I37" s="81"/>
      <c r="J37" s="90">
        <f>J32+J24+J31-H31</f>
        <v>0</v>
      </c>
      <c r="K37" s="81"/>
      <c r="L37" s="90">
        <f>L32+L24+L31-J31</f>
        <v>0</v>
      </c>
      <c r="N37" s="90">
        <f>N32+N24+N31-L31</f>
        <v>0</v>
      </c>
    </row>
    <row r="38" spans="1:14" ht="20.25" customHeight="1" x14ac:dyDescent="0.3">
      <c r="A38" s="25" t="s">
        <v>229</v>
      </c>
      <c r="B38" s="329"/>
      <c r="C38" s="335">
        <f>-'Working Capital'!J17</f>
        <v>0</v>
      </c>
      <c r="D38" s="84">
        <f>-('Working Capital'!K17-'Working Capital'!J17)</f>
        <v>0</v>
      </c>
      <c r="E38" s="25"/>
      <c r="F38" s="336">
        <f>D38</f>
        <v>0</v>
      </c>
      <c r="G38" s="81"/>
      <c r="H38" s="84">
        <f>-('Working Capital'!L17-'Working Capital'!K17)</f>
        <v>0</v>
      </c>
      <c r="I38" s="81"/>
      <c r="J38" s="84">
        <f>-('Working Capital'!M17-'Working Capital'!L17)</f>
        <v>0</v>
      </c>
      <c r="K38" s="81"/>
      <c r="L38" s="84">
        <f>-('Working Capital'!N17-'Working Capital'!M17)</f>
        <v>0</v>
      </c>
      <c r="N38" s="84">
        <f>-('Working Capital'!O17-'Working Capital'!N17)</f>
        <v>0</v>
      </c>
    </row>
    <row r="39" spans="1:14" ht="20.25" customHeight="1" x14ac:dyDescent="0.3">
      <c r="A39" s="25" t="s">
        <v>230</v>
      </c>
      <c r="B39" s="25"/>
      <c r="C39" s="25"/>
      <c r="D39" s="25">
        <f>-Investments!F33</f>
        <v>0</v>
      </c>
      <c r="E39" s="25">
        <v>0</v>
      </c>
      <c r="F39" s="336">
        <f>-Investments!F33</f>
        <v>0</v>
      </c>
      <c r="G39" s="81"/>
      <c r="H39" s="50">
        <f>-Investments!G33</f>
        <v>0</v>
      </c>
      <c r="I39" s="81"/>
      <c r="J39" s="84">
        <f>-Investments!H33</f>
        <v>0</v>
      </c>
      <c r="K39" s="81"/>
      <c r="L39" s="84">
        <f>-Investments!I33</f>
        <v>0</v>
      </c>
      <c r="N39" s="84">
        <f>-Investments!J33</f>
        <v>0</v>
      </c>
    </row>
    <row r="40" spans="1:14" ht="20.25" customHeight="1" x14ac:dyDescent="0.3">
      <c r="A40" s="25"/>
      <c r="B40" s="25"/>
      <c r="C40" s="25"/>
      <c r="D40" s="25"/>
      <c r="E40" s="25"/>
      <c r="F40" s="336"/>
      <c r="G40" s="81"/>
      <c r="H40" s="50"/>
      <c r="I40" s="81"/>
      <c r="J40" s="84"/>
      <c r="K40" s="81"/>
      <c r="L40" s="84"/>
      <c r="N40" s="84"/>
    </row>
    <row r="41" spans="1:14" ht="20.25" customHeight="1" x14ac:dyDescent="0.3">
      <c r="A41" s="25" t="s">
        <v>231</v>
      </c>
      <c r="B41" s="25"/>
      <c r="C41" s="25"/>
      <c r="D41" s="82">
        <f>SUM(D36:D39)</f>
        <v>0</v>
      </c>
      <c r="E41" s="82">
        <f>D41+E32</f>
        <v>-34300000</v>
      </c>
      <c r="F41" s="336">
        <f>SUM(F36:F39)</f>
        <v>0</v>
      </c>
      <c r="G41" s="81"/>
      <c r="H41" s="72"/>
      <c r="I41" s="81"/>
      <c r="J41" s="84"/>
      <c r="K41" s="81"/>
      <c r="L41" s="84"/>
      <c r="N41" s="84"/>
    </row>
    <row r="42" spans="1:14" ht="20.25" customHeight="1" x14ac:dyDescent="0.3">
      <c r="A42" s="25"/>
      <c r="B42" s="25"/>
      <c r="C42" s="25"/>
      <c r="D42" s="25"/>
      <c r="E42" s="25"/>
      <c r="F42" s="90"/>
      <c r="G42" s="81"/>
      <c r="H42" s="72"/>
      <c r="I42" s="81"/>
      <c r="J42" s="84"/>
      <c r="K42" s="81"/>
      <c r="L42" s="84"/>
      <c r="N42" s="84"/>
    </row>
    <row r="43" spans="1:14" ht="20.25" customHeight="1" x14ac:dyDescent="0.3">
      <c r="A43" s="86" t="s">
        <v>232</v>
      </c>
      <c r="B43" s="86"/>
      <c r="C43" s="86"/>
      <c r="D43" s="334">
        <f>MIN(D41:E41)</f>
        <v>-34300000</v>
      </c>
      <c r="E43" s="86"/>
      <c r="F43" s="90"/>
      <c r="G43" s="81"/>
      <c r="H43" s="72"/>
      <c r="I43" s="81"/>
      <c r="J43" s="84"/>
      <c r="K43" s="81"/>
      <c r="L43" s="84"/>
      <c r="N43" s="84"/>
    </row>
    <row r="44" spans="1:14" ht="20.25" customHeight="1" x14ac:dyDescent="0.3">
      <c r="A44" s="25" t="s">
        <v>233</v>
      </c>
      <c r="B44" s="25"/>
      <c r="C44" s="25"/>
      <c r="D44" s="25"/>
      <c r="E44" s="25"/>
      <c r="F44" s="90"/>
      <c r="G44" s="81"/>
      <c r="H44" s="50"/>
      <c r="I44" s="81"/>
      <c r="J44" s="84"/>
      <c r="K44" s="81"/>
      <c r="L44" s="84"/>
      <c r="N44" s="84"/>
    </row>
    <row r="45" spans="1:14" ht="20.25" customHeight="1" x14ac:dyDescent="0.3">
      <c r="A45" s="50" t="s">
        <v>234</v>
      </c>
      <c r="B45" s="50"/>
      <c r="C45" s="50"/>
      <c r="D45" s="84">
        <f>'Financing sources'!D19</f>
        <v>34300000</v>
      </c>
      <c r="E45" s="50"/>
      <c r="F45" s="336">
        <f>D45+E45</f>
        <v>34300000</v>
      </c>
      <c r="G45" s="81"/>
      <c r="H45" s="142">
        <f>'Financing sources'!F19</f>
        <v>0</v>
      </c>
      <c r="I45" s="143"/>
      <c r="J45" s="142">
        <f>'Financing sources'!G19</f>
        <v>0</v>
      </c>
      <c r="K45" s="81"/>
      <c r="L45" s="142">
        <f>'Financing sources'!H19</f>
        <v>0</v>
      </c>
      <c r="N45" s="142">
        <f>'Financing sources'!I19</f>
        <v>0</v>
      </c>
    </row>
    <row r="46" spans="1:14" ht="20.25" customHeight="1" x14ac:dyDescent="0.3">
      <c r="A46" s="50" t="s">
        <v>235</v>
      </c>
      <c r="B46" s="50"/>
      <c r="C46" s="50"/>
      <c r="D46" s="50">
        <f>'Financing sources'!D18</f>
        <v>0</v>
      </c>
      <c r="E46" s="50"/>
      <c r="F46" s="336">
        <f t="shared" ref="F46:F53" si="5">D46+E46</f>
        <v>0</v>
      </c>
      <c r="G46" s="81"/>
      <c r="H46" s="142">
        <f>'Financing sources'!F18</f>
        <v>0</v>
      </c>
      <c r="I46" s="143"/>
      <c r="J46" s="142">
        <f>'Financing sources'!G18</f>
        <v>0</v>
      </c>
      <c r="K46" s="81"/>
      <c r="L46" s="142">
        <f>'Financing sources'!H18</f>
        <v>0</v>
      </c>
      <c r="N46" s="142">
        <f>'Financing sources'!I18</f>
        <v>0</v>
      </c>
    </row>
    <row r="47" spans="1:14" ht="20.25" customHeight="1" x14ac:dyDescent="0.3">
      <c r="A47" s="50" t="s">
        <v>236</v>
      </c>
      <c r="B47" s="50"/>
      <c r="C47" s="50"/>
      <c r="D47" s="50">
        <f>'Financing sources'!D15</f>
        <v>0</v>
      </c>
      <c r="E47" s="50"/>
      <c r="F47" s="336">
        <f t="shared" si="5"/>
        <v>0</v>
      </c>
      <c r="G47" s="81"/>
      <c r="H47" s="142">
        <f>'Financing sources'!F15</f>
        <v>0</v>
      </c>
      <c r="I47" s="143"/>
      <c r="J47" s="142">
        <f>'Financing sources'!G15</f>
        <v>0</v>
      </c>
      <c r="K47" s="81"/>
      <c r="L47" s="142">
        <f>'Financing sources'!H15</f>
        <v>0</v>
      </c>
      <c r="N47" s="142">
        <f>'Financing sources'!I15</f>
        <v>0</v>
      </c>
    </row>
    <row r="48" spans="1:14" ht="20.25" customHeight="1" x14ac:dyDescent="0.3">
      <c r="A48" s="50" t="s">
        <v>237</v>
      </c>
      <c r="B48" s="50"/>
      <c r="C48" s="50"/>
      <c r="D48" s="50">
        <f>'Financing sources'!D16</f>
        <v>0</v>
      </c>
      <c r="E48" s="50"/>
      <c r="F48" s="336">
        <f t="shared" si="5"/>
        <v>0</v>
      </c>
      <c r="G48" s="81"/>
      <c r="H48" s="142">
        <f>'Financing sources'!F16</f>
        <v>0</v>
      </c>
      <c r="I48" s="143"/>
      <c r="J48" s="142">
        <f>'Financing sources'!G16</f>
        <v>0</v>
      </c>
      <c r="K48" s="81"/>
      <c r="L48" s="142">
        <f>'Financing sources'!H16</f>
        <v>0</v>
      </c>
      <c r="N48" s="142">
        <f>'Financing sources'!I16</f>
        <v>0</v>
      </c>
    </row>
    <row r="49" spans="1:14" ht="20.25" customHeight="1" x14ac:dyDescent="0.3">
      <c r="A49" s="85" t="s">
        <v>238</v>
      </c>
      <c r="B49" s="85"/>
      <c r="C49" s="85"/>
      <c r="D49" s="85">
        <f>'Financing sources'!D17</f>
        <v>0</v>
      </c>
      <c r="E49" s="85"/>
      <c r="F49" s="336">
        <f t="shared" si="5"/>
        <v>0</v>
      </c>
      <c r="G49" s="81"/>
      <c r="H49" s="142">
        <f>'Financing sources'!F17</f>
        <v>0</v>
      </c>
      <c r="I49" s="143"/>
      <c r="J49" s="142">
        <f>'Financing sources'!G17</f>
        <v>0</v>
      </c>
      <c r="K49" s="81"/>
      <c r="L49" s="142">
        <f>'Financing sources'!H17</f>
        <v>0</v>
      </c>
      <c r="N49" s="142">
        <f>'Financing sources'!I17</f>
        <v>0</v>
      </c>
    </row>
    <row r="50" spans="1:14" ht="20.25" customHeight="1" x14ac:dyDescent="0.3">
      <c r="A50" s="25" t="s">
        <v>239</v>
      </c>
      <c r="B50" s="25"/>
      <c r="C50" s="25"/>
      <c r="D50" s="25"/>
      <c r="E50" s="25"/>
      <c r="F50" s="336"/>
      <c r="G50" s="81"/>
      <c r="H50" s="142"/>
      <c r="I50" s="143"/>
      <c r="J50" s="142"/>
      <c r="K50" s="81"/>
      <c r="L50" s="142"/>
      <c r="N50" s="142"/>
    </row>
    <row r="51" spans="1:14" ht="20.25" customHeight="1" x14ac:dyDescent="0.3">
      <c r="A51" s="50" t="s">
        <v>240</v>
      </c>
      <c r="B51" s="50"/>
      <c r="C51" s="50"/>
      <c r="D51" s="50">
        <f>-'Financing sources'!D30</f>
        <v>0</v>
      </c>
      <c r="E51" s="50">
        <f>-'Financing sources'!E30</f>
        <v>0</v>
      </c>
      <c r="F51" s="336">
        <f t="shared" si="5"/>
        <v>0</v>
      </c>
      <c r="G51" s="81"/>
      <c r="H51" s="142">
        <f>-('Financing sources'!F30+'Financing sources'!G30)</f>
        <v>0</v>
      </c>
      <c r="I51" s="143"/>
      <c r="J51" s="142">
        <f>-('Financing sources'!H30+'Financing sources'!I30)</f>
        <v>0</v>
      </c>
      <c r="K51" s="81"/>
      <c r="L51" s="142">
        <f>-('Financing sources'!J30+'Financing sources'!K30)</f>
        <v>0</v>
      </c>
      <c r="N51" s="142">
        <f>-('Financing sources'!L30+'Financing sources'!M30)</f>
        <v>0</v>
      </c>
    </row>
    <row r="52" spans="1:14" ht="20.25" customHeight="1" x14ac:dyDescent="0.3">
      <c r="A52" s="50" t="s">
        <v>241</v>
      </c>
      <c r="B52" s="50"/>
      <c r="C52" s="50"/>
      <c r="D52" s="50">
        <f>-'Financing sources'!D36</f>
        <v>0</v>
      </c>
      <c r="E52" s="50">
        <f>-'Financing sources'!E36</f>
        <v>0</v>
      </c>
      <c r="F52" s="336">
        <f t="shared" si="5"/>
        <v>0</v>
      </c>
      <c r="G52" s="81"/>
      <c r="H52" s="154">
        <f>-('Financing sources'!F36+'Financing sources'!G36)</f>
        <v>0</v>
      </c>
      <c r="I52" s="143"/>
      <c r="J52" s="142">
        <f>-('Financing sources'!H36+'Financing sources'!I36)</f>
        <v>0</v>
      </c>
      <c r="K52" s="81"/>
      <c r="L52" s="142">
        <f>-('Financing sources'!J36+'Financing sources'!K36)</f>
        <v>0</v>
      </c>
      <c r="N52" s="142">
        <f>-('Financing sources'!L36+'Financing sources'!M36)</f>
        <v>0</v>
      </c>
    </row>
    <row r="53" spans="1:14" ht="20.25" customHeight="1" x14ac:dyDescent="0.3">
      <c r="A53" s="50" t="s">
        <v>242</v>
      </c>
      <c r="B53" s="50"/>
      <c r="C53" s="50"/>
      <c r="D53" s="50">
        <f>-'Financing sources'!D40</f>
        <v>0</v>
      </c>
      <c r="E53" s="50">
        <f>-'Financing sources'!E40</f>
        <v>0</v>
      </c>
      <c r="F53" s="336">
        <f t="shared" si="5"/>
        <v>0</v>
      </c>
      <c r="G53" s="81"/>
      <c r="H53" s="142">
        <f>-('Financing sources'!F40+'Financing sources'!G40)</f>
        <v>0</v>
      </c>
      <c r="I53" s="143"/>
      <c r="J53" s="142">
        <f>-('Financing sources'!H40+'Financing sources'!I40)</f>
        <v>0</v>
      </c>
      <c r="K53" s="81"/>
      <c r="L53" s="142">
        <f>-('Financing sources'!J40+'Financing sources'!K40)</f>
        <v>0</v>
      </c>
      <c r="N53" s="142">
        <f>-('Financing sources'!L40+'Financing sources'!M40)</f>
        <v>0</v>
      </c>
    </row>
    <row r="54" spans="1:14" ht="20.25" customHeight="1" x14ac:dyDescent="0.3">
      <c r="A54" s="25" t="s">
        <v>243</v>
      </c>
      <c r="B54" s="329">
        <v>0</v>
      </c>
      <c r="C54" s="329">
        <v>0</v>
      </c>
      <c r="D54" s="335">
        <f>D36+D37+D38+D39+SUM(D45:D53)</f>
        <v>34300000</v>
      </c>
      <c r="E54" s="335">
        <f>E36+E37+E38+E39+SUM(E45:E53)</f>
        <v>34300000</v>
      </c>
      <c r="F54" s="247">
        <f>F36+F37+F38+F39+SUM(F45:F49)+SUM(F51:F53)</f>
        <v>34300000</v>
      </c>
      <c r="G54" s="91"/>
      <c r="H54" s="247">
        <f>H36+H37+H38+H39+SUM(H45:H49)+SUM(H51:H53)</f>
        <v>34300000</v>
      </c>
      <c r="I54" s="144"/>
      <c r="J54" s="247">
        <f>J36+J37+J38+J39+SUM(J45:J49)+SUM(J51:J53)</f>
        <v>34300000</v>
      </c>
      <c r="K54" s="91"/>
      <c r="L54" s="247">
        <f>L36+L37+L38+L39+SUM(L45:L49)+SUM(L51:L53)</f>
        <v>34300000</v>
      </c>
      <c r="N54" s="247">
        <f>N36+N37+N38+N39+SUM(N45:N49)+SUM(N51:N53)</f>
        <v>34300000</v>
      </c>
    </row>
    <row r="55" spans="1:14" ht="20.25" customHeight="1" x14ac:dyDescent="0.3">
      <c r="A55" s="50"/>
      <c r="B55" s="50"/>
      <c r="C55" s="50"/>
      <c r="D55" s="50"/>
      <c r="E55" s="50"/>
      <c r="F55" s="83"/>
      <c r="G55" s="81"/>
      <c r="I55" s="81"/>
      <c r="J55" s="84"/>
      <c r="K55" s="81"/>
    </row>
    <row r="56" spans="1:14" x14ac:dyDescent="0.25">
      <c r="A56" s="88"/>
      <c r="B56" s="88"/>
      <c r="C56" s="88"/>
      <c r="D56" s="88"/>
      <c r="E56" s="88"/>
    </row>
    <row r="57" spans="1:14" ht="16.5" thickBot="1" x14ac:dyDescent="0.3">
      <c r="A57" s="111" t="s">
        <v>69</v>
      </c>
      <c r="B57" s="111"/>
      <c r="C57" s="111"/>
      <c r="D57" s="111"/>
      <c r="E57" s="111"/>
    </row>
    <row r="58" spans="1:14" s="30" customFormat="1" ht="31.5" x14ac:dyDescent="0.25">
      <c r="A58" s="162" t="s">
        <v>244</v>
      </c>
      <c r="B58" s="326"/>
      <c r="C58" s="326"/>
      <c r="D58" s="326"/>
      <c r="E58" s="326"/>
    </row>
    <row r="59" spans="1:14" s="30" customFormat="1" ht="15.75" x14ac:dyDescent="0.25">
      <c r="A59" s="161"/>
      <c r="B59" s="120"/>
      <c r="C59" s="120"/>
      <c r="D59" s="120"/>
      <c r="E59" s="120"/>
    </row>
    <row r="60" spans="1:14" s="30" customFormat="1" x14ac:dyDescent="0.25">
      <c r="A60" s="112" t="s">
        <v>245</v>
      </c>
      <c r="B60" s="88"/>
      <c r="C60" s="88"/>
      <c r="D60" s="88"/>
      <c r="E60" s="88"/>
    </row>
    <row r="61" spans="1:14" s="30" customFormat="1" x14ac:dyDescent="0.25">
      <c r="A61" s="113" t="s">
        <v>246</v>
      </c>
      <c r="B61" s="183"/>
      <c r="C61" s="183"/>
      <c r="D61" s="183"/>
      <c r="E61" s="183"/>
    </row>
    <row r="62" spans="1:14" s="30" customFormat="1" x14ac:dyDescent="0.25">
      <c r="A62" s="113" t="s">
        <v>247</v>
      </c>
      <c r="B62" s="183"/>
      <c r="C62" s="183"/>
      <c r="D62" s="183"/>
      <c r="E62" s="183"/>
    </row>
    <row r="63" spans="1:14" x14ac:dyDescent="0.25">
      <c r="A63" s="407" t="s">
        <v>248</v>
      </c>
      <c r="B63" s="327"/>
      <c r="C63" s="327"/>
      <c r="D63" s="327"/>
      <c r="E63" s="327"/>
    </row>
    <row r="64" spans="1:14" ht="29.25" customHeight="1" x14ac:dyDescent="0.25">
      <c r="A64" s="407"/>
      <c r="B64" s="327"/>
      <c r="C64" s="327"/>
      <c r="D64" s="327"/>
      <c r="E64" s="327"/>
    </row>
    <row r="65" spans="1:14" ht="34.5" customHeight="1" x14ac:dyDescent="0.25">
      <c r="A65" s="124" t="s">
        <v>249</v>
      </c>
      <c r="B65" s="132"/>
      <c r="C65" s="132"/>
      <c r="D65" s="132"/>
      <c r="E65" s="132"/>
    </row>
    <row r="66" spans="1:14" ht="34.5" customHeight="1" thickBot="1" x14ac:dyDescent="0.3">
      <c r="A66" s="114" t="s">
        <v>250</v>
      </c>
      <c r="B66" s="132"/>
      <c r="C66" s="132"/>
      <c r="D66" s="132"/>
      <c r="E66" s="132"/>
    </row>
    <row r="67" spans="1:14" ht="34.5" customHeight="1" x14ac:dyDescent="0.25">
      <c r="A67" s="132"/>
      <c r="B67" s="132"/>
      <c r="C67" s="132"/>
      <c r="D67" s="132"/>
      <c r="E67" s="132"/>
    </row>
    <row r="68" spans="1:14" ht="34.5" customHeight="1" x14ac:dyDescent="0.3">
      <c r="A68" s="165" t="s">
        <v>251</v>
      </c>
      <c r="B68" s="284">
        <v>0.2</v>
      </c>
      <c r="C68" s="165"/>
      <c r="D68" s="165"/>
      <c r="E68" s="165"/>
    </row>
    <row r="69" spans="1:14" ht="19.5" customHeight="1" x14ac:dyDescent="0.25">
      <c r="A69" s="285"/>
      <c r="B69" s="285"/>
      <c r="C69" s="285"/>
      <c r="D69" s="285"/>
      <c r="E69" s="285"/>
    </row>
    <row r="70" spans="1:14" ht="19.5" customHeight="1" x14ac:dyDescent="0.25">
      <c r="A70" s="404" t="s">
        <v>252</v>
      </c>
      <c r="B70" s="404"/>
      <c r="C70" s="404"/>
      <c r="D70" s="404"/>
      <c r="E70" s="404"/>
      <c r="F70" t="s">
        <v>253</v>
      </c>
      <c r="H70" t="s">
        <v>254</v>
      </c>
      <c r="J70" t="s">
        <v>36</v>
      </c>
      <c r="L70" t="s">
        <v>37</v>
      </c>
      <c r="N70" t="s">
        <v>38</v>
      </c>
    </row>
    <row r="71" spans="1:14" ht="33" customHeight="1" x14ac:dyDescent="0.25">
      <c r="A71" s="285" t="s">
        <v>255</v>
      </c>
      <c r="B71" s="243" t="s">
        <v>256</v>
      </c>
      <c r="C71" s="285"/>
      <c r="D71" s="285"/>
      <c r="E71" s="285"/>
      <c r="F71" s="73" t="e">
        <f>((F21+F24)/G12)*100</f>
        <v>#DIV/0!</v>
      </c>
      <c r="G71" s="73"/>
      <c r="H71" s="73" t="e">
        <f>((H21+H24)/I12)*100</f>
        <v>#DIV/0!</v>
      </c>
      <c r="I71" s="73"/>
      <c r="J71" s="73" t="e">
        <f>((J21+J24)/K12)*100</f>
        <v>#DIV/0!</v>
      </c>
      <c r="L71" s="73" t="e">
        <f>((L21+L24)/M12)*100</f>
        <v>#DIV/0!</v>
      </c>
      <c r="N71" s="73" t="e">
        <f>((N21+N24)/O12)*100</f>
        <v>#DIV/0!</v>
      </c>
    </row>
  </sheetData>
  <mergeCells count="4">
    <mergeCell ref="B2:C2"/>
    <mergeCell ref="A70:E70"/>
    <mergeCell ref="F4:G4"/>
    <mergeCell ref="A63:A6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2"/>
  <sheetViews>
    <sheetView zoomScale="98" zoomScaleNormal="98" workbookViewId="0">
      <pane ySplit="4" topLeftCell="A5" activePane="bottomLeft" state="frozen"/>
      <selection pane="bottomLeft" activeCell="K3" sqref="K3"/>
    </sheetView>
  </sheetViews>
  <sheetFormatPr defaultRowHeight="15" x14ac:dyDescent="0.25"/>
  <cols>
    <col min="1" max="1" width="28.7109375" customWidth="1"/>
    <col min="2" max="2" width="6.140625" customWidth="1"/>
    <col min="6" max="6" width="31.5703125" customWidth="1"/>
    <col min="7" max="7" width="13.7109375" customWidth="1"/>
    <col min="8" max="8" width="6.7109375" customWidth="1"/>
    <col min="9" max="9" width="3.42578125" customWidth="1"/>
    <col min="10" max="10" width="15" customWidth="1"/>
    <col min="11" max="11" width="11.5703125" customWidth="1"/>
    <col min="12" max="12" width="12.5703125" customWidth="1"/>
    <col min="13" max="14" width="11.5703125" customWidth="1"/>
    <col min="15" max="15" width="12" customWidth="1"/>
  </cols>
  <sheetData>
    <row r="1" spans="1:15" ht="15.75" x14ac:dyDescent="0.25">
      <c r="A1" s="2" t="s">
        <v>257</v>
      </c>
      <c r="K1" s="153" t="str">
        <f>'Sales &amp; Grossmargin forecast '!B1</f>
        <v>Drafted in UGX</v>
      </c>
    </row>
    <row r="2" spans="1:15" ht="15.75" x14ac:dyDescent="0.25">
      <c r="A2" s="2"/>
      <c r="J2" s="18" t="s">
        <v>258</v>
      </c>
      <c r="K2" s="307" t="s">
        <v>259</v>
      </c>
    </row>
    <row r="3" spans="1:15" ht="30" x14ac:dyDescent="0.25">
      <c r="J3" s="364" t="s">
        <v>260</v>
      </c>
      <c r="K3" s="421" t="s">
        <v>419</v>
      </c>
      <c r="L3" s="211" t="s">
        <v>262</v>
      </c>
      <c r="M3" s="211" t="s">
        <v>263</v>
      </c>
      <c r="N3" s="211" t="s">
        <v>264</v>
      </c>
      <c r="O3" s="211" t="s">
        <v>265</v>
      </c>
    </row>
    <row r="4" spans="1:15" x14ac:dyDescent="0.25">
      <c r="J4" s="364">
        <f>'P&amp;L and Cashflowstatement'!C4</f>
        <v>2023</v>
      </c>
      <c r="K4" s="365">
        <f>J4+1</f>
        <v>2024</v>
      </c>
      <c r="L4" s="365">
        <f>K4+1</f>
        <v>2025</v>
      </c>
      <c r="M4" s="365">
        <f>L4+1</f>
        <v>2026</v>
      </c>
      <c r="N4" s="365">
        <f>M4+1</f>
        <v>2027</v>
      </c>
      <c r="O4" s="365">
        <f>N4+1</f>
        <v>2028</v>
      </c>
    </row>
    <row r="5" spans="1:15" x14ac:dyDescent="0.25">
      <c r="A5" t="s">
        <v>266</v>
      </c>
      <c r="C5" s="71" t="s">
        <v>267</v>
      </c>
      <c r="K5" s="76">
        <v>15</v>
      </c>
      <c r="L5" s="76">
        <v>15</v>
      </c>
      <c r="M5" s="76">
        <v>15</v>
      </c>
      <c r="N5" s="158">
        <v>15</v>
      </c>
      <c r="O5" s="76">
        <v>15</v>
      </c>
    </row>
    <row r="6" spans="1:15" x14ac:dyDescent="0.25">
      <c r="C6" s="71" t="s">
        <v>268</v>
      </c>
      <c r="I6" t="s">
        <v>269</v>
      </c>
      <c r="J6" s="76">
        <v>0</v>
      </c>
      <c r="K6" s="73">
        <f>(('P&amp;L and Cashflowstatement'!F9)/360)*K5</f>
        <v>0</v>
      </c>
      <c r="L6" s="73">
        <f>(('P&amp;L and Cashflowstatement'!H9)/360)*L5</f>
        <v>0</v>
      </c>
      <c r="M6" s="73">
        <f>(('P&amp;L and Cashflowstatement'!J9)/360)*M5</f>
        <v>0</v>
      </c>
      <c r="N6" s="73">
        <f>(('P&amp;L and Cashflowstatement'!L9)/360)*N5</f>
        <v>0</v>
      </c>
      <c r="O6" s="73">
        <f>(('P&amp;L and Cashflowstatement'!N9)/360)*O5</f>
        <v>0</v>
      </c>
    </row>
    <row r="7" spans="1:15" x14ac:dyDescent="0.25">
      <c r="K7" s="40"/>
      <c r="L7" s="40"/>
      <c r="M7" s="40"/>
      <c r="N7" s="40"/>
      <c r="O7" s="40"/>
    </row>
    <row r="8" spans="1:15" x14ac:dyDescent="0.25">
      <c r="A8" t="s">
        <v>270</v>
      </c>
      <c r="C8" t="s">
        <v>271</v>
      </c>
      <c r="I8" t="s">
        <v>70</v>
      </c>
      <c r="K8" s="76">
        <v>7</v>
      </c>
      <c r="L8" s="158">
        <v>10</v>
      </c>
      <c r="M8" s="158">
        <v>15</v>
      </c>
      <c r="N8" s="158">
        <v>15</v>
      </c>
      <c r="O8" s="158">
        <v>15</v>
      </c>
    </row>
    <row r="9" spans="1:15" ht="18.75" x14ac:dyDescent="0.3">
      <c r="C9" t="s">
        <v>272</v>
      </c>
      <c r="H9" s="166">
        <v>0.21</v>
      </c>
      <c r="I9" t="s">
        <v>273</v>
      </c>
      <c r="K9" s="40"/>
      <c r="L9" s="40"/>
      <c r="M9" s="40"/>
      <c r="N9" s="40"/>
      <c r="O9" s="40"/>
    </row>
    <row r="10" spans="1:15" x14ac:dyDescent="0.25">
      <c r="C10" s="3" t="s">
        <v>274</v>
      </c>
      <c r="I10" t="s">
        <v>269</v>
      </c>
      <c r="J10" s="76">
        <v>0</v>
      </c>
      <c r="K10" s="125">
        <f>(('P&amp;L and Cashflowstatement'!F6*(1+$H$9))/360*K8)</f>
        <v>0</v>
      </c>
      <c r="L10" s="73">
        <f>(('P&amp;L and Cashflowstatement'!H6*(1+$H$9))/360*L8)</f>
        <v>0</v>
      </c>
      <c r="M10" s="73">
        <f>(('P&amp;L and Cashflowstatement'!J6*(1+$H$9))/360*M8)</f>
        <v>0</v>
      </c>
      <c r="N10" s="73">
        <f>(('P&amp;L and Cashflowstatement'!L6*(1+$H$9))/360*N8)</f>
        <v>0</v>
      </c>
      <c r="O10" s="73">
        <f>(('P&amp;L and Cashflowstatement'!N6*(1+$H$9))/360*O8)</f>
        <v>0</v>
      </c>
    </row>
    <row r="11" spans="1:15" x14ac:dyDescent="0.25">
      <c r="K11" s="40"/>
      <c r="L11" s="40"/>
      <c r="M11" s="40"/>
      <c r="N11" s="40"/>
      <c r="O11" s="40"/>
    </row>
    <row r="12" spans="1:15" x14ac:dyDescent="0.25">
      <c r="A12" t="s">
        <v>275</v>
      </c>
      <c r="C12" s="3" t="s">
        <v>276</v>
      </c>
      <c r="I12" t="s">
        <v>70</v>
      </c>
      <c r="K12" s="76">
        <v>15</v>
      </c>
      <c r="L12" s="158">
        <v>20</v>
      </c>
      <c r="M12" s="158">
        <v>30</v>
      </c>
      <c r="N12" s="158">
        <v>30</v>
      </c>
      <c r="O12" s="158">
        <v>30</v>
      </c>
    </row>
    <row r="13" spans="1:15" x14ac:dyDescent="0.25">
      <c r="C13" s="409" t="s">
        <v>277</v>
      </c>
      <c r="D13" s="377"/>
      <c r="E13" s="377"/>
      <c r="F13" s="377"/>
      <c r="G13" s="377"/>
      <c r="K13" s="40"/>
      <c r="L13" s="40"/>
      <c r="M13" s="40"/>
      <c r="N13" s="40"/>
      <c r="O13" s="40"/>
    </row>
    <row r="14" spans="1:15" ht="31.5" customHeight="1" x14ac:dyDescent="0.3">
      <c r="C14" s="408" t="s">
        <v>278</v>
      </c>
      <c r="D14" s="408"/>
      <c r="E14" s="408"/>
      <c r="F14" s="408"/>
      <c r="G14" s="408"/>
      <c r="H14" s="166">
        <v>0.21</v>
      </c>
      <c r="I14" t="s">
        <v>279</v>
      </c>
      <c r="J14" s="76">
        <v>0</v>
      </c>
      <c r="K14" s="73">
        <f>(('P&amp;L and Cashflowstatement'!F11+'P&amp;L and Cashflowstatement'!F21-'P&amp;L and Cashflowstatement'!F15)*(1+$H$14))/360*K12</f>
        <v>0</v>
      </c>
      <c r="L14" s="73">
        <f>(('P&amp;L and Cashflowstatement'!H11+'P&amp;L and Cashflowstatement'!H21-'P&amp;L and Cashflowstatement'!H15)*(1+$H$14))/360*L12</f>
        <v>0</v>
      </c>
      <c r="M14" s="73">
        <f>(('P&amp;L and Cashflowstatement'!J11+'P&amp;L and Cashflowstatement'!J21-'P&amp;L and Cashflowstatement'!J15)*(1+$H$14))/360*M12</f>
        <v>0</v>
      </c>
      <c r="N14" s="73">
        <f>(('P&amp;L and Cashflowstatement'!L11+'P&amp;L and Cashflowstatement'!L21-'P&amp;L and Cashflowstatement'!L15)*(1+$H$14))/360*N12</f>
        <v>0</v>
      </c>
      <c r="O14" s="73">
        <f>(('P&amp;L and Cashflowstatement'!N11+'P&amp;L and Cashflowstatement'!N21-'P&amp;L and Cashflowstatement'!N15)*(1+$H$14))/360*O12</f>
        <v>0</v>
      </c>
    </row>
    <row r="15" spans="1:15" x14ac:dyDescent="0.25">
      <c r="K15" s="40"/>
      <c r="L15" s="40"/>
      <c r="M15" s="40"/>
      <c r="N15" s="40"/>
      <c r="O15" s="40"/>
    </row>
    <row r="16" spans="1:15" x14ac:dyDescent="0.25">
      <c r="K16" s="40"/>
      <c r="L16" s="40"/>
      <c r="M16" s="40"/>
      <c r="N16" s="40"/>
      <c r="O16" s="40"/>
    </row>
    <row r="17" spans="1:15" x14ac:dyDescent="0.25">
      <c r="A17" s="1" t="s">
        <v>280</v>
      </c>
      <c r="C17" t="s">
        <v>281</v>
      </c>
      <c r="J17" s="125">
        <f>J6+J10-J14</f>
        <v>0</v>
      </c>
      <c r="K17" s="125">
        <f>K6+K10-K14</f>
        <v>0</v>
      </c>
      <c r="L17" s="125">
        <f t="shared" ref="L17:M17" si="0">L6+L10-L14</f>
        <v>0</v>
      </c>
      <c r="M17" s="125">
        <f t="shared" si="0"/>
        <v>0</v>
      </c>
      <c r="N17" s="125">
        <f>N6+N10-N14</f>
        <v>0</v>
      </c>
      <c r="O17" s="125">
        <f t="shared" ref="O17" si="1">O6+O10-O14</f>
        <v>0</v>
      </c>
    </row>
    <row r="20" spans="1:15" ht="15.75" x14ac:dyDescent="0.25">
      <c r="A20" s="252" t="s">
        <v>69</v>
      </c>
      <c r="B20" s="253"/>
      <c r="C20" s="253"/>
      <c r="D20" s="253"/>
      <c r="E20" s="253"/>
      <c r="F20" s="34"/>
    </row>
    <row r="21" spans="1:15" ht="15.75" x14ac:dyDescent="0.25">
      <c r="A21" s="254" t="s">
        <v>282</v>
      </c>
      <c r="B21" s="255"/>
      <c r="C21" s="255"/>
      <c r="D21" s="255"/>
      <c r="E21" s="255"/>
      <c r="F21" s="256"/>
    </row>
    <row r="22" spans="1:15" ht="15.75" x14ac:dyDescent="0.25">
      <c r="A22" s="257" t="s">
        <v>283</v>
      </c>
      <c r="B22" s="258"/>
      <c r="C22" s="258"/>
      <c r="D22" s="258"/>
      <c r="E22" s="258"/>
      <c r="F22" s="259"/>
    </row>
  </sheetData>
  <mergeCells count="2">
    <mergeCell ref="C14:G14"/>
    <mergeCell ref="C13:G13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7"/>
  <sheetViews>
    <sheetView zoomScale="82" zoomScaleNormal="82" workbookViewId="0">
      <pane ySplit="4" topLeftCell="A5" activePane="bottomLeft" state="frozen"/>
      <selection activeCell="A3" sqref="A3"/>
      <selection pane="bottomLeft" activeCell="O51" sqref="O51"/>
    </sheetView>
  </sheetViews>
  <sheetFormatPr defaultRowHeight="15" x14ac:dyDescent="0.25"/>
  <cols>
    <col min="1" max="1" width="47.5703125" customWidth="1"/>
    <col min="2" max="2" width="13.85546875" customWidth="1"/>
    <col min="3" max="3" width="13.42578125" style="73" customWidth="1"/>
    <col min="4" max="5" width="16.140625" customWidth="1"/>
    <col min="6" max="6" width="17.28515625" customWidth="1"/>
    <col min="7" max="7" width="18.42578125" customWidth="1"/>
    <col min="8" max="8" width="16.85546875" customWidth="1"/>
    <col min="9" max="9" width="17.7109375" customWidth="1"/>
    <col min="10" max="10" width="16.42578125" customWidth="1"/>
    <col min="11" max="11" width="17" customWidth="1"/>
    <col min="12" max="12" width="17.7109375" customWidth="1"/>
    <col min="13" max="13" width="16.5703125" customWidth="1"/>
    <col min="15" max="15" width="18.42578125" customWidth="1"/>
  </cols>
  <sheetData>
    <row r="1" spans="1:13" ht="15.75" x14ac:dyDescent="0.25">
      <c r="A1" s="1" t="s">
        <v>284</v>
      </c>
      <c r="B1" s="1"/>
      <c r="C1" s="228"/>
      <c r="D1" s="18" t="str">
        <f>'Sales &amp; Grossmargin forecast '!B1</f>
        <v>Drafted in UGX</v>
      </c>
      <c r="F1" s="307"/>
    </row>
    <row r="2" spans="1:13" x14ac:dyDescent="0.25">
      <c r="A2" s="1"/>
      <c r="B2" s="1"/>
      <c r="C2" s="228"/>
      <c r="D2" s="1" t="s">
        <v>259</v>
      </c>
      <c r="F2" s="1"/>
    </row>
    <row r="3" spans="1:13" x14ac:dyDescent="0.25">
      <c r="A3" s="1"/>
      <c r="B3" s="1"/>
      <c r="C3" s="228"/>
      <c r="D3" s="365" t="s">
        <v>419</v>
      </c>
      <c r="E3" s="70"/>
      <c r="F3" s="212" t="s">
        <v>262</v>
      </c>
      <c r="G3" s="212" t="s">
        <v>263</v>
      </c>
      <c r="H3" s="212" t="s">
        <v>264</v>
      </c>
      <c r="I3" s="212" t="s">
        <v>265</v>
      </c>
    </row>
    <row r="4" spans="1:13" x14ac:dyDescent="0.25">
      <c r="A4" s="1"/>
      <c r="B4" s="1"/>
      <c r="C4" s="228"/>
      <c r="D4" s="365">
        <f>'Working Capital'!K4</f>
        <v>2024</v>
      </c>
      <c r="E4" s="70"/>
      <c r="F4" s="366">
        <f>D4+1</f>
        <v>2025</v>
      </c>
      <c r="G4" s="212">
        <f>F4+1</f>
        <v>2026</v>
      </c>
      <c r="H4" s="212">
        <f>G4+1</f>
        <v>2027</v>
      </c>
      <c r="I4" s="212">
        <f>H4+1</f>
        <v>2028</v>
      </c>
    </row>
    <row r="5" spans="1:13" x14ac:dyDescent="0.25">
      <c r="A5" s="1" t="s">
        <v>285</v>
      </c>
    </row>
    <row r="6" spans="1:13" x14ac:dyDescent="0.25">
      <c r="A6" t="s">
        <v>286</v>
      </c>
      <c r="D6">
        <f>'P&amp;L and Cashflowstatement'!F36</f>
        <v>0</v>
      </c>
      <c r="F6" s="73">
        <f>'P&amp;L and Cashflowstatement'!H36</f>
        <v>34300000</v>
      </c>
      <c r="G6" s="73">
        <f>'P&amp;L and Cashflowstatement'!J36</f>
        <v>34300000</v>
      </c>
      <c r="H6" s="73">
        <f>'P&amp;L and Cashflowstatement'!L36</f>
        <v>34300000</v>
      </c>
      <c r="I6" s="73">
        <f>'P&amp;L and Cashflowstatement'!N36</f>
        <v>34300000</v>
      </c>
    </row>
    <row r="7" spans="1:13" x14ac:dyDescent="0.25">
      <c r="A7" t="s">
        <v>287</v>
      </c>
      <c r="D7" s="125">
        <f>'P&amp;L and Cashflowstatement'!F37</f>
        <v>0</v>
      </c>
      <c r="E7" s="125"/>
      <c r="F7" s="125">
        <f>'P&amp;L and Cashflowstatement'!H37</f>
        <v>0</v>
      </c>
      <c r="G7" s="125">
        <f>'P&amp;L and Cashflowstatement'!J37</f>
        <v>0</v>
      </c>
      <c r="H7" s="125">
        <f>'P&amp;L and Cashflowstatement'!K37</f>
        <v>0</v>
      </c>
      <c r="I7" s="125">
        <f>'P&amp;L and Cashflowstatement'!L37</f>
        <v>0</v>
      </c>
    </row>
    <row r="8" spans="1:13" x14ac:dyDescent="0.25">
      <c r="A8" t="s">
        <v>288</v>
      </c>
      <c r="D8" s="125">
        <f>'Working Capital'!K17</f>
        <v>0</v>
      </c>
      <c r="E8" s="125"/>
      <c r="F8" s="125">
        <f>'Working Capital'!L17</f>
        <v>0</v>
      </c>
      <c r="G8" s="125">
        <f>'Working Capital'!M17</f>
        <v>0</v>
      </c>
      <c r="H8" s="125">
        <f>'Working Capital'!N17</f>
        <v>0</v>
      </c>
      <c r="I8" s="125">
        <f>'Working Capital'!O17</f>
        <v>0</v>
      </c>
    </row>
    <row r="9" spans="1:13" x14ac:dyDescent="0.25">
      <c r="A9" t="s">
        <v>289</v>
      </c>
      <c r="D9" s="125">
        <f>-Investments!F33</f>
        <v>0</v>
      </c>
      <c r="E9" s="125"/>
      <c r="F9" s="125">
        <f>-Investments!G33</f>
        <v>0</v>
      </c>
      <c r="G9" s="125">
        <f>-Investments!H33</f>
        <v>0</v>
      </c>
      <c r="H9" s="125">
        <f>-Investments!I33</f>
        <v>0</v>
      </c>
      <c r="I9" s="125">
        <f>-Investments!J33</f>
        <v>0</v>
      </c>
    </row>
    <row r="10" spans="1:13" x14ac:dyDescent="0.25">
      <c r="A10" t="s">
        <v>290</v>
      </c>
      <c r="D10" s="125">
        <f>'P&amp;L and Cashflowstatement'!F51+'P&amp;L and Cashflowstatement'!F52+'P&amp;L and Cashflowstatement'!F53</f>
        <v>0</v>
      </c>
      <c r="E10" s="125"/>
      <c r="F10" s="125">
        <f>'P&amp;L and Cashflowstatement'!H51+'P&amp;L and Cashflowstatement'!H52+'P&amp;L and Cashflowstatement'!H53</f>
        <v>0</v>
      </c>
      <c r="G10" s="125">
        <f>'P&amp;L and Cashflowstatement'!J51+'P&amp;L and Cashflowstatement'!J52+'P&amp;L and Cashflowstatement'!J53</f>
        <v>0</v>
      </c>
      <c r="H10" s="125">
        <f>'P&amp;L and Cashflowstatement'!L51+'P&amp;L and Cashflowstatement'!L52+'P&amp;L and Cashflowstatement'!L53</f>
        <v>0</v>
      </c>
      <c r="I10" s="125">
        <f>'P&amp;L and Cashflowstatement'!L51+'P&amp;L and Cashflowstatement'!L52+'P&amp;L and Cashflowstatement'!L53</f>
        <v>0</v>
      </c>
    </row>
    <row r="11" spans="1:13" x14ac:dyDescent="0.25">
      <c r="A11" t="s">
        <v>291</v>
      </c>
      <c r="D11" s="125">
        <f>SUM(D6:D10)</f>
        <v>0</v>
      </c>
      <c r="E11" s="125"/>
      <c r="F11" s="125">
        <f>SUM(F6:F10)</f>
        <v>34300000</v>
      </c>
      <c r="G11" s="125">
        <f>SUM(G6:G10)</f>
        <v>34300000</v>
      </c>
      <c r="H11" s="125">
        <f>SUM(H6:H10)</f>
        <v>34300000</v>
      </c>
      <c r="I11" s="125">
        <f>SUM(I6:I10)</f>
        <v>34300000</v>
      </c>
    </row>
    <row r="12" spans="1:13" ht="29.25" customHeight="1" x14ac:dyDescent="0.25">
      <c r="A12" s="118" t="s">
        <v>292</v>
      </c>
      <c r="B12" s="77"/>
      <c r="C12" s="78"/>
      <c r="D12" s="78">
        <f>'P&amp;L and Cashflowstatement'!D43</f>
        <v>-34300000</v>
      </c>
      <c r="E12" s="78"/>
    </row>
    <row r="13" spans="1:13" ht="29.25" customHeight="1" x14ac:dyDescent="0.25">
      <c r="A13" s="118"/>
      <c r="B13" s="77"/>
      <c r="C13" s="78"/>
      <c r="D13" s="78"/>
      <c r="E13" s="78"/>
    </row>
    <row r="14" spans="1:13" x14ac:dyDescent="0.25">
      <c r="A14" s="1" t="s">
        <v>293</v>
      </c>
      <c r="D14" s="73">
        <f>-D12*1</f>
        <v>34300000</v>
      </c>
      <c r="E14">
        <v>100</v>
      </c>
      <c r="F14" s="147">
        <f>-F11*1</f>
        <v>-34300000</v>
      </c>
      <c r="G14" s="147">
        <f>-G11*1</f>
        <v>-34300000</v>
      </c>
      <c r="H14" s="147">
        <f t="shared" ref="H14:I14" si="0">-H11*1</f>
        <v>-34300000</v>
      </c>
      <c r="I14" s="147">
        <f t="shared" si="0"/>
        <v>-34300000</v>
      </c>
    </row>
    <row r="15" spans="1:13" x14ac:dyDescent="0.25">
      <c r="A15" s="377" t="s">
        <v>294</v>
      </c>
      <c r="B15" s="377"/>
      <c r="C15" s="377"/>
      <c r="D15" s="126">
        <v>0</v>
      </c>
      <c r="E15" s="40">
        <f>(D15/D$14)*100</f>
        <v>0</v>
      </c>
      <c r="F15" s="146">
        <v>0</v>
      </c>
      <c r="G15" s="146">
        <v>0</v>
      </c>
      <c r="H15" s="146">
        <v>0</v>
      </c>
      <c r="I15" s="146">
        <v>0</v>
      </c>
      <c r="J15" s="77"/>
      <c r="K15" s="29"/>
      <c r="L15" s="29"/>
      <c r="M15" s="29"/>
    </row>
    <row r="16" spans="1:13" x14ac:dyDescent="0.25">
      <c r="A16" t="s">
        <v>295</v>
      </c>
      <c r="D16" s="76">
        <v>0</v>
      </c>
      <c r="E16" s="40">
        <f>(D16/D$14)*100</f>
        <v>0</v>
      </c>
      <c r="F16" s="146">
        <v>0</v>
      </c>
      <c r="G16" s="146">
        <v>0</v>
      </c>
      <c r="H16" s="146">
        <v>0</v>
      </c>
      <c r="I16" s="146">
        <v>0</v>
      </c>
      <c r="J16" s="77"/>
      <c r="K16" s="29"/>
      <c r="L16" s="29"/>
      <c r="M16" s="29"/>
    </row>
    <row r="17" spans="1:17" x14ac:dyDescent="0.25">
      <c r="A17" s="377" t="s">
        <v>296</v>
      </c>
      <c r="B17" s="377"/>
      <c r="C17" s="377"/>
      <c r="D17" s="76">
        <v>0</v>
      </c>
      <c r="E17" s="40"/>
      <c r="F17" s="146">
        <v>0</v>
      </c>
      <c r="G17" s="146">
        <v>0</v>
      </c>
      <c r="H17" s="146">
        <v>0</v>
      </c>
      <c r="I17" s="146">
        <v>0</v>
      </c>
      <c r="K17" s="115"/>
      <c r="L17" s="115"/>
      <c r="M17" s="115"/>
    </row>
    <row r="18" spans="1:17" x14ac:dyDescent="0.25">
      <c r="A18" t="s">
        <v>297</v>
      </c>
      <c r="D18" s="76">
        <v>0</v>
      </c>
      <c r="E18" s="40"/>
      <c r="F18" s="146">
        <v>0</v>
      </c>
      <c r="G18" s="146">
        <v>0</v>
      </c>
      <c r="H18" s="146">
        <v>0</v>
      </c>
      <c r="I18" s="146">
        <v>0</v>
      </c>
      <c r="K18" s="115"/>
      <c r="L18" s="115"/>
      <c r="M18" s="115"/>
    </row>
    <row r="19" spans="1:17" x14ac:dyDescent="0.25">
      <c r="A19" s="377" t="s">
        <v>298</v>
      </c>
      <c r="B19" s="377"/>
      <c r="C19" s="377"/>
      <c r="D19" s="78">
        <f>D14-SUM(D15:D18)</f>
        <v>34300000</v>
      </c>
      <c r="E19" s="40">
        <f>(D19/D$14)*100</f>
        <v>100</v>
      </c>
      <c r="F19" s="146">
        <v>0</v>
      </c>
      <c r="G19" s="146">
        <v>0</v>
      </c>
      <c r="H19" s="146">
        <v>0</v>
      </c>
      <c r="I19" s="146">
        <v>0</v>
      </c>
    </row>
    <row r="20" spans="1:17" x14ac:dyDescent="0.25">
      <c r="D20" s="73"/>
      <c r="E20" s="40"/>
    </row>
    <row r="21" spans="1:17" x14ac:dyDescent="0.25">
      <c r="D21" s="73"/>
      <c r="E21" s="40"/>
    </row>
    <row r="22" spans="1:17" ht="18.75" x14ac:dyDescent="0.25">
      <c r="A22" s="210" t="s">
        <v>299</v>
      </c>
      <c r="B22" s="177"/>
      <c r="C22" s="229"/>
      <c r="D22" s="177"/>
      <c r="E22" s="177"/>
      <c r="F22" s="177"/>
      <c r="G22" s="177"/>
      <c r="H22" s="177"/>
      <c r="I22" s="177"/>
    </row>
    <row r="23" spans="1:17" x14ac:dyDescent="0.25">
      <c r="A23" s="177"/>
      <c r="B23" s="177"/>
      <c r="C23" s="410" t="s">
        <v>261</v>
      </c>
      <c r="D23" s="410"/>
      <c r="E23" s="410"/>
      <c r="F23" s="410" t="s">
        <v>262</v>
      </c>
      <c r="G23" s="410"/>
      <c r="H23" s="410" t="s">
        <v>263</v>
      </c>
      <c r="I23" s="410"/>
      <c r="J23" s="411" t="s">
        <v>264</v>
      </c>
      <c r="K23" s="411"/>
      <c r="L23" s="411" t="s">
        <v>265</v>
      </c>
      <c r="M23" s="411"/>
      <c r="Q23">
        <v>0</v>
      </c>
    </row>
    <row r="24" spans="1:17" x14ac:dyDescent="0.25">
      <c r="A24" s="177"/>
      <c r="B24" s="177"/>
      <c r="C24" s="375"/>
      <c r="D24" s="375">
        <f>D4</f>
        <v>2024</v>
      </c>
      <c r="E24" s="375"/>
      <c r="F24" s="375">
        <f>F4</f>
        <v>2025</v>
      </c>
      <c r="G24" s="375"/>
      <c r="H24" s="375">
        <f>G4</f>
        <v>2026</v>
      </c>
      <c r="I24" s="375"/>
      <c r="J24" s="374">
        <f>H4</f>
        <v>2027</v>
      </c>
      <c r="K24" s="374"/>
      <c r="L24" s="374">
        <f>I4</f>
        <v>2028</v>
      </c>
      <c r="M24" s="374"/>
    </row>
    <row r="25" spans="1:17" x14ac:dyDescent="0.25">
      <c r="A25" s="177"/>
      <c r="B25" s="177"/>
      <c r="C25" s="229" t="s">
        <v>300</v>
      </c>
      <c r="D25" s="116" t="s">
        <v>301</v>
      </c>
      <c r="E25" s="116" t="s">
        <v>302</v>
      </c>
      <c r="F25" s="116" t="s">
        <v>303</v>
      </c>
      <c r="G25" s="116" t="s">
        <v>304</v>
      </c>
      <c r="H25" s="116" t="s">
        <v>305</v>
      </c>
      <c r="I25" s="116" t="s">
        <v>306</v>
      </c>
      <c r="J25" s="116" t="s">
        <v>307</v>
      </c>
      <c r="K25" s="116" t="s">
        <v>308</v>
      </c>
      <c r="L25" s="116" t="s">
        <v>309</v>
      </c>
      <c r="M25" s="116" t="s">
        <v>310</v>
      </c>
    </row>
    <row r="26" spans="1:17" x14ac:dyDescent="0.25">
      <c r="A26" s="177"/>
      <c r="B26" s="177"/>
      <c r="C26" s="229"/>
      <c r="D26" s="177"/>
      <c r="E26" s="177"/>
      <c r="F26" s="177"/>
      <c r="G26" s="177"/>
      <c r="H26" s="177"/>
      <c r="I26" s="177"/>
    </row>
    <row r="27" spans="1:17" x14ac:dyDescent="0.25">
      <c r="A27" s="177" t="s">
        <v>311</v>
      </c>
      <c r="B27" s="346">
        <f>D15*1</f>
        <v>0</v>
      </c>
      <c r="C27" s="229">
        <f>B27*1</f>
        <v>0</v>
      </c>
      <c r="D27" s="346">
        <f t="shared" ref="D27:K27" si="1">C27-C30</f>
        <v>0</v>
      </c>
      <c r="E27" s="346">
        <f t="shared" si="1"/>
        <v>0</v>
      </c>
      <c r="F27" s="346">
        <f>E27-E30+F15</f>
        <v>0</v>
      </c>
      <c r="G27" s="346">
        <f t="shared" si="1"/>
        <v>0</v>
      </c>
      <c r="H27" s="346">
        <f>G27-G30+G15</f>
        <v>0</v>
      </c>
      <c r="I27" s="346">
        <f t="shared" si="1"/>
        <v>0</v>
      </c>
      <c r="J27" s="346">
        <f>I27-I30+H15</f>
        <v>0</v>
      </c>
      <c r="K27" s="346">
        <f t="shared" si="1"/>
        <v>0</v>
      </c>
      <c r="L27" s="346">
        <f>K27-K30+I15</f>
        <v>0</v>
      </c>
      <c r="M27" s="346">
        <f t="shared" ref="M27" si="2">L27-L30</f>
        <v>0</v>
      </c>
    </row>
    <row r="28" spans="1:17" x14ac:dyDescent="0.25">
      <c r="A28" s="177" t="s">
        <v>312</v>
      </c>
      <c r="B28" s="262">
        <v>7.0000000000000007E-2</v>
      </c>
      <c r="C28" s="229"/>
      <c r="D28" s="177">
        <f>(D27*$B$28)/2</f>
        <v>0</v>
      </c>
      <c r="E28" s="177">
        <f t="shared" ref="E28:J28" si="3">(E27*$B$28)/2</f>
        <v>0</v>
      </c>
      <c r="F28" s="177">
        <f t="shared" si="3"/>
        <v>0</v>
      </c>
      <c r="G28" s="177">
        <f t="shared" si="3"/>
        <v>0</v>
      </c>
      <c r="H28" s="177">
        <f t="shared" si="3"/>
        <v>0</v>
      </c>
      <c r="I28" s="177">
        <f t="shared" si="3"/>
        <v>0</v>
      </c>
      <c r="J28" s="177">
        <f t="shared" si="3"/>
        <v>0</v>
      </c>
      <c r="K28" s="177">
        <f t="shared" ref="K28:L28" si="4">(K27*$B$28)/2</f>
        <v>0</v>
      </c>
      <c r="L28" s="177">
        <f t="shared" si="4"/>
        <v>0</v>
      </c>
      <c r="M28" s="177">
        <f t="shared" ref="M28" si="5">(M27*$B$28)/2</f>
        <v>0</v>
      </c>
    </row>
    <row r="29" spans="1:17" ht="30" x14ac:dyDescent="0.25">
      <c r="A29" s="177" t="s">
        <v>313</v>
      </c>
      <c r="B29" s="152">
        <v>0</v>
      </c>
      <c r="C29" s="229"/>
      <c r="D29" s="177">
        <f>(D27*$B$29)/2</f>
        <v>0</v>
      </c>
      <c r="E29" s="177">
        <f t="shared" ref="E29:J29" si="6">(E27*$B$29)/2</f>
        <v>0</v>
      </c>
      <c r="F29" s="177">
        <f t="shared" si="6"/>
        <v>0</v>
      </c>
      <c r="G29" s="177">
        <f t="shared" si="6"/>
        <v>0</v>
      </c>
      <c r="H29" s="177">
        <f t="shared" si="6"/>
        <v>0</v>
      </c>
      <c r="I29" s="177">
        <f t="shared" si="6"/>
        <v>0</v>
      </c>
      <c r="J29" s="177">
        <f t="shared" si="6"/>
        <v>0</v>
      </c>
      <c r="K29" s="177">
        <f t="shared" ref="K29:L29" si="7">(K27*$B$29)/2</f>
        <v>0</v>
      </c>
      <c r="L29" s="177">
        <f t="shared" si="7"/>
        <v>0</v>
      </c>
      <c r="M29" s="177">
        <f t="shared" ref="M29" si="8">(M27*$B$29)/2</f>
        <v>0</v>
      </c>
    </row>
    <row r="30" spans="1:17" x14ac:dyDescent="0.25">
      <c r="A30" s="177" t="s">
        <v>314</v>
      </c>
      <c r="B30" s="177"/>
      <c r="C30" s="229"/>
      <c r="D30" s="155">
        <f>$B$27*0%</f>
        <v>0</v>
      </c>
      <c r="E30" s="155">
        <f>$B$27*10%</f>
        <v>0</v>
      </c>
      <c r="F30" s="155">
        <f>$B$27*10%</f>
        <v>0</v>
      </c>
      <c r="G30" s="155">
        <f>$B$27*10%</f>
        <v>0</v>
      </c>
      <c r="H30" s="155">
        <f>$B$27*15%</f>
        <v>0</v>
      </c>
      <c r="I30" s="155">
        <f>$B$27*15%</f>
        <v>0</v>
      </c>
      <c r="J30" s="155">
        <f>$B$27*20%</f>
        <v>0</v>
      </c>
      <c r="K30" s="248">
        <f>K27</f>
        <v>0</v>
      </c>
      <c r="L30" s="155">
        <f>$B$27*0%</f>
        <v>0</v>
      </c>
      <c r="M30" s="155">
        <f>$B$27*0%</f>
        <v>0</v>
      </c>
      <c r="N30" t="s">
        <v>315</v>
      </c>
      <c r="O30">
        <f>SUM(D30:M30)</f>
        <v>0</v>
      </c>
    </row>
    <row r="31" spans="1:17" ht="21.75" customHeight="1" x14ac:dyDescent="0.25">
      <c r="A31" s="177"/>
      <c r="B31" s="177"/>
      <c r="C31" s="229"/>
      <c r="D31" s="177"/>
      <c r="E31" s="177"/>
      <c r="F31" s="177"/>
      <c r="G31" s="177"/>
      <c r="H31" s="177"/>
      <c r="I31" s="177"/>
      <c r="J31" s="177"/>
      <c r="K31" s="177"/>
      <c r="L31" s="177"/>
      <c r="M31" s="177"/>
    </row>
    <row r="32" spans="1:17" x14ac:dyDescent="0.25">
      <c r="A32" s="177"/>
      <c r="B32" s="177"/>
      <c r="C32" s="229"/>
      <c r="D32" s="177"/>
      <c r="E32" s="177"/>
      <c r="F32" s="177"/>
      <c r="G32" s="177"/>
      <c r="H32" s="177"/>
      <c r="I32" s="177"/>
    </row>
    <row r="33" spans="1:15" x14ac:dyDescent="0.25">
      <c r="A33" s="177"/>
      <c r="B33" s="177"/>
      <c r="C33" s="229"/>
      <c r="D33" s="177"/>
      <c r="E33" s="177"/>
      <c r="F33" s="177"/>
      <c r="G33" s="177"/>
      <c r="H33" s="177"/>
      <c r="I33" s="177"/>
    </row>
    <row r="34" spans="1:15" x14ac:dyDescent="0.25">
      <c r="A34" s="148" t="s">
        <v>316</v>
      </c>
      <c r="B34" s="149">
        <f>D16*1</f>
        <v>0</v>
      </c>
      <c r="C34" s="230">
        <f>B34*1</f>
        <v>0</v>
      </c>
      <c r="D34" s="149">
        <f t="shared" ref="D34" si="9">C34-C36</f>
        <v>0</v>
      </c>
      <c r="E34" s="149">
        <f t="shared" ref="E34" si="10">D34-D36</f>
        <v>0</v>
      </c>
      <c r="F34" s="149">
        <f>E34-E36+F16</f>
        <v>0</v>
      </c>
      <c r="G34" s="149">
        <f t="shared" ref="G34" si="11">F34-F36</f>
        <v>0</v>
      </c>
      <c r="H34" s="149">
        <f>G34-G36+G16</f>
        <v>0</v>
      </c>
      <c r="I34" s="149">
        <f t="shared" ref="I34" si="12">H34-H36</f>
        <v>0</v>
      </c>
      <c r="J34" s="149">
        <f>I34-I36+H16</f>
        <v>0</v>
      </c>
      <c r="K34" s="149">
        <f t="shared" ref="K34" si="13">J34-J36</f>
        <v>0</v>
      </c>
      <c r="L34" s="149">
        <f>K34-K36+I16</f>
        <v>0</v>
      </c>
      <c r="M34" s="149">
        <f t="shared" ref="M34" si="14">L34-L36</f>
        <v>0</v>
      </c>
    </row>
    <row r="35" spans="1:15" x14ac:dyDescent="0.25">
      <c r="A35" s="148" t="s">
        <v>317</v>
      </c>
      <c r="B35" s="150">
        <v>0.1</v>
      </c>
      <c r="C35" s="230"/>
      <c r="D35" s="148">
        <f t="shared" ref="D35:J35" si="15">(D34*$B$35)/2</f>
        <v>0</v>
      </c>
      <c r="E35" s="148">
        <f t="shared" si="15"/>
        <v>0</v>
      </c>
      <c r="F35" s="148">
        <f t="shared" si="15"/>
        <v>0</v>
      </c>
      <c r="G35" s="148">
        <f t="shared" si="15"/>
        <v>0</v>
      </c>
      <c r="H35" s="148">
        <f t="shared" si="15"/>
        <v>0</v>
      </c>
      <c r="I35" s="148">
        <f t="shared" si="15"/>
        <v>0</v>
      </c>
      <c r="J35" s="148">
        <f t="shared" si="15"/>
        <v>0</v>
      </c>
      <c r="K35" s="148">
        <f t="shared" ref="K35" si="16">(K34*$B$35)/2</f>
        <v>0</v>
      </c>
      <c r="L35" s="148">
        <f t="shared" ref="L35:M35" si="17">(L34*$B$35)/2</f>
        <v>0</v>
      </c>
      <c r="M35" s="148">
        <f t="shared" si="17"/>
        <v>0</v>
      </c>
    </row>
    <row r="36" spans="1:15" x14ac:dyDescent="0.25">
      <c r="A36" s="148" t="s">
        <v>314</v>
      </c>
      <c r="B36" s="148"/>
      <c r="C36" s="230"/>
      <c r="D36" s="155">
        <f>$B$34*0%</f>
        <v>0</v>
      </c>
      <c r="E36" s="155">
        <f>$B$34*0%</f>
        <v>0</v>
      </c>
      <c r="F36" s="151">
        <f>$B$34*10%</f>
        <v>0</v>
      </c>
      <c r="G36" s="151">
        <f t="shared" ref="G36" si="18">$B$34*10%</f>
        <v>0</v>
      </c>
      <c r="H36" s="151">
        <f>$B$34*15%</f>
        <v>0</v>
      </c>
      <c r="I36" s="151">
        <f>$B$34*15%</f>
        <v>0</v>
      </c>
      <c r="J36" s="151">
        <f>$B$34*20%</f>
        <v>0</v>
      </c>
      <c r="K36" s="151">
        <f>$B$34*30%</f>
        <v>0</v>
      </c>
      <c r="L36" s="151">
        <f>$B$34*0%</f>
        <v>0</v>
      </c>
      <c r="M36" s="151">
        <f>$B$34*0%</f>
        <v>0</v>
      </c>
      <c r="O36">
        <f>SUM(D36:M36)</f>
        <v>0</v>
      </c>
    </row>
    <row r="37" spans="1:15" x14ac:dyDescent="0.25">
      <c r="A37" s="148"/>
      <c r="B37" s="148"/>
      <c r="C37" s="230"/>
      <c r="D37" s="148"/>
      <c r="E37" s="148"/>
      <c r="F37" s="148"/>
      <c r="G37" s="148"/>
      <c r="H37" s="148"/>
      <c r="I37" s="148"/>
      <c r="J37" s="3"/>
      <c r="K37" s="3"/>
      <c r="L37" s="3"/>
      <c r="M37" s="3"/>
    </row>
    <row r="38" spans="1:15" x14ac:dyDescent="0.25">
      <c r="A38" s="148" t="s">
        <v>318</v>
      </c>
      <c r="B38" s="149">
        <f>D17*1</f>
        <v>0</v>
      </c>
      <c r="C38" s="230">
        <f>B38*1</f>
        <v>0</v>
      </c>
      <c r="D38" s="149">
        <f t="shared" ref="D38" si="19">C38-C40</f>
        <v>0</v>
      </c>
      <c r="E38" s="149">
        <f t="shared" ref="E38" si="20">D38-D40</f>
        <v>0</v>
      </c>
      <c r="F38" s="149">
        <f>E38-E40+F17</f>
        <v>0</v>
      </c>
      <c r="G38" s="149">
        <f t="shared" ref="G38" si="21">F38-F40</f>
        <v>0</v>
      </c>
      <c r="H38" s="149">
        <f>G38-G40+G17</f>
        <v>0</v>
      </c>
      <c r="I38" s="149">
        <f t="shared" ref="I38" si="22">H38-H40</f>
        <v>0</v>
      </c>
      <c r="J38" s="149">
        <f>I38-I40+H17</f>
        <v>0</v>
      </c>
      <c r="K38" s="149">
        <f t="shared" ref="K38" si="23">J38-J40</f>
        <v>0</v>
      </c>
      <c r="L38" s="149">
        <f>K38-K40+I17</f>
        <v>0</v>
      </c>
      <c r="M38" s="149">
        <f t="shared" ref="M38" si="24">L38-L40</f>
        <v>0</v>
      </c>
    </row>
    <row r="39" spans="1:15" x14ac:dyDescent="0.25">
      <c r="A39" s="148" t="s">
        <v>319</v>
      </c>
      <c r="B39" s="150">
        <v>0.2</v>
      </c>
      <c r="C39" s="230"/>
      <c r="D39" s="148">
        <f>(D38*$B$39)/2</f>
        <v>0</v>
      </c>
      <c r="E39" s="148">
        <f>(E38*$B$39)/2</f>
        <v>0</v>
      </c>
      <c r="F39" s="148">
        <f>(F38*$B$39)/2</f>
        <v>0</v>
      </c>
      <c r="G39" s="148">
        <f>(G38*$B$39)/2</f>
        <v>0</v>
      </c>
      <c r="H39" s="148">
        <f t="shared" ref="H39:J39" si="25">(H38*$B$39)/2</f>
        <v>0</v>
      </c>
      <c r="I39" s="148">
        <f t="shared" si="25"/>
        <v>0</v>
      </c>
      <c r="J39" s="148">
        <f t="shared" si="25"/>
        <v>0</v>
      </c>
      <c r="K39" s="148">
        <f t="shared" ref="K39" si="26">(K38*$B$39)/2</f>
        <v>0</v>
      </c>
      <c r="L39" s="148">
        <f t="shared" ref="L39" si="27">(L38*$B$39)/2</f>
        <v>0</v>
      </c>
    </row>
    <row r="40" spans="1:15" x14ac:dyDescent="0.25">
      <c r="A40" s="148" t="s">
        <v>314</v>
      </c>
      <c r="B40" s="148"/>
      <c r="C40" s="230"/>
      <c r="D40" s="151">
        <v>0</v>
      </c>
      <c r="E40" s="151">
        <v>0</v>
      </c>
      <c r="F40" s="151">
        <f>$B$38*5%</f>
        <v>0</v>
      </c>
      <c r="G40" s="151">
        <f t="shared" ref="G40:M40" si="28">$B$38*5%</f>
        <v>0</v>
      </c>
      <c r="H40" s="151">
        <f t="shared" si="28"/>
        <v>0</v>
      </c>
      <c r="I40" s="151">
        <f t="shared" si="28"/>
        <v>0</v>
      </c>
      <c r="J40" s="151">
        <f t="shared" si="28"/>
        <v>0</v>
      </c>
      <c r="K40" s="151">
        <f t="shared" si="28"/>
        <v>0</v>
      </c>
      <c r="L40" s="151">
        <f t="shared" si="28"/>
        <v>0</v>
      </c>
      <c r="M40" s="151">
        <f t="shared" si="28"/>
        <v>0</v>
      </c>
    </row>
    <row r="41" spans="1:15" x14ac:dyDescent="0.25">
      <c r="A41" s="148"/>
      <c r="B41" s="148"/>
      <c r="C41" s="230"/>
      <c r="D41" s="148"/>
      <c r="E41" s="148"/>
      <c r="F41" s="148"/>
      <c r="G41" s="148"/>
      <c r="H41" s="148"/>
      <c r="I41" s="148"/>
      <c r="J41" s="3"/>
      <c r="K41" s="3"/>
      <c r="L41" s="3"/>
      <c r="M41" s="3"/>
      <c r="N41" s="148">
        <f>(K38*$B$39)/2</f>
        <v>0</v>
      </c>
    </row>
    <row r="42" spans="1:15" x14ac:dyDescent="0.25">
      <c r="A42" s="148"/>
      <c r="B42" s="148"/>
      <c r="C42" s="230"/>
      <c r="D42" s="148"/>
      <c r="E42" s="148"/>
      <c r="F42" s="148"/>
      <c r="G42" s="148"/>
      <c r="H42" s="148"/>
      <c r="I42" s="148"/>
      <c r="J42" s="3"/>
      <c r="K42" s="3"/>
      <c r="L42" s="3"/>
      <c r="M42" s="3"/>
    </row>
    <row r="43" spans="1:15" x14ac:dyDescent="0.25">
      <c r="A43" s="148" t="s">
        <v>320</v>
      </c>
      <c r="B43" s="148"/>
      <c r="C43" s="230">
        <f>SUM(C27+C34+C38)</f>
        <v>0</v>
      </c>
      <c r="D43" s="149">
        <f t="shared" ref="D43:J43" si="29">SUM(D27+D34+D38)</f>
        <v>0</v>
      </c>
      <c r="E43" s="149">
        <f t="shared" si="29"/>
        <v>0</v>
      </c>
      <c r="F43" s="149">
        <f t="shared" si="29"/>
        <v>0</v>
      </c>
      <c r="G43" s="149">
        <f t="shared" si="29"/>
        <v>0</v>
      </c>
      <c r="H43" s="149">
        <f t="shared" si="29"/>
        <v>0</v>
      </c>
      <c r="I43" s="149">
        <f t="shared" si="29"/>
        <v>0</v>
      </c>
      <c r="J43" s="149">
        <f t="shared" si="29"/>
        <v>0</v>
      </c>
      <c r="K43" s="149">
        <f t="shared" ref="K43" si="30">SUM(K27+K34+K38)</f>
        <v>0</v>
      </c>
      <c r="L43" s="149">
        <f t="shared" ref="L43:M43" si="31">SUM(L27+L34+L38)</f>
        <v>0</v>
      </c>
      <c r="M43" s="149">
        <f t="shared" si="31"/>
        <v>0</v>
      </c>
    </row>
    <row r="44" spans="1:15" x14ac:dyDescent="0.25">
      <c r="A44" s="148" t="s">
        <v>321</v>
      </c>
      <c r="B44" s="148"/>
      <c r="C44" s="230"/>
      <c r="D44" s="148">
        <f>D28+D29+D35+D39</f>
        <v>0</v>
      </c>
      <c r="E44" s="148">
        <f t="shared" ref="E44:M44" si="32">E28+E29+E35+E39</f>
        <v>0</v>
      </c>
      <c r="F44" s="148">
        <f t="shared" si="32"/>
        <v>0</v>
      </c>
      <c r="G44" s="148">
        <f t="shared" si="32"/>
        <v>0</v>
      </c>
      <c r="H44" s="148">
        <f t="shared" si="32"/>
        <v>0</v>
      </c>
      <c r="I44" s="148">
        <f t="shared" si="32"/>
        <v>0</v>
      </c>
      <c r="J44" s="148">
        <f t="shared" si="32"/>
        <v>0</v>
      </c>
      <c r="K44" s="148">
        <f t="shared" si="32"/>
        <v>0</v>
      </c>
      <c r="L44" s="148">
        <f t="shared" si="32"/>
        <v>0</v>
      </c>
      <c r="M44" s="148">
        <f t="shared" si="32"/>
        <v>0</v>
      </c>
    </row>
    <row r="45" spans="1:15" x14ac:dyDescent="0.25">
      <c r="A45" s="148" t="s">
        <v>322</v>
      </c>
      <c r="B45" s="148"/>
      <c r="C45" s="230"/>
      <c r="D45" s="148">
        <f t="shared" ref="D45:J45" si="33">SUM(D30+D36+D40)</f>
        <v>0</v>
      </c>
      <c r="E45" s="148">
        <f t="shared" si="33"/>
        <v>0</v>
      </c>
      <c r="F45" s="148">
        <f t="shared" si="33"/>
        <v>0</v>
      </c>
      <c r="G45" s="148">
        <f t="shared" si="33"/>
        <v>0</v>
      </c>
      <c r="H45" s="148">
        <f t="shared" si="33"/>
        <v>0</v>
      </c>
      <c r="I45" s="148">
        <f t="shared" si="33"/>
        <v>0</v>
      </c>
      <c r="J45" s="148">
        <f t="shared" si="33"/>
        <v>0</v>
      </c>
      <c r="K45" s="148">
        <f t="shared" ref="K45" si="34">SUM(K30+K36+K40)</f>
        <v>0</v>
      </c>
      <c r="L45" s="148">
        <f t="shared" ref="L45:M45" si="35">SUM(L30+L36+L40)</f>
        <v>0</v>
      </c>
      <c r="M45" s="148">
        <f t="shared" si="35"/>
        <v>0</v>
      </c>
      <c r="O45">
        <f>SUM(D45:M45)</f>
        <v>0</v>
      </c>
    </row>
    <row r="46" spans="1:15" x14ac:dyDescent="0.25">
      <c r="A46" s="189"/>
      <c r="B46" s="148"/>
      <c r="C46" s="230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5" x14ac:dyDescent="0.25">
      <c r="A47" s="189"/>
      <c r="B47" s="148"/>
      <c r="C47" s="230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5" x14ac:dyDescent="0.25">
      <c r="A48" s="148" t="s">
        <v>323</v>
      </c>
      <c r="B48" s="148"/>
      <c r="C48" s="230">
        <v>0</v>
      </c>
      <c r="D48" s="148">
        <f>SUM(D44:D47)</f>
        <v>0</v>
      </c>
      <c r="E48" s="148">
        <f t="shared" ref="E48:J48" si="36">SUM(E44:E47)</f>
        <v>0</v>
      </c>
      <c r="F48" s="148">
        <f t="shared" si="36"/>
        <v>0</v>
      </c>
      <c r="G48" s="148">
        <f t="shared" si="36"/>
        <v>0</v>
      </c>
      <c r="H48" s="148">
        <f t="shared" si="36"/>
        <v>0</v>
      </c>
      <c r="I48" s="148">
        <f t="shared" si="36"/>
        <v>0</v>
      </c>
      <c r="J48" s="148">
        <f t="shared" si="36"/>
        <v>0</v>
      </c>
      <c r="K48" s="148">
        <f t="shared" ref="K48" si="37">SUM(K44:K47)</f>
        <v>0</v>
      </c>
      <c r="L48" s="148">
        <f t="shared" ref="L48:M48" si="38">SUM(L44:L47)</f>
        <v>0</v>
      </c>
      <c r="M48" s="148">
        <f t="shared" si="38"/>
        <v>0</v>
      </c>
    </row>
    <row r="49" spans="1:15" x14ac:dyDescent="0.25">
      <c r="A49" s="148"/>
      <c r="B49" s="148"/>
      <c r="C49" s="230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5" x14ac:dyDescent="0.25">
      <c r="A50" s="148"/>
      <c r="B50" s="148"/>
      <c r="C50" s="230"/>
      <c r="D50" s="148"/>
      <c r="E50" s="148"/>
      <c r="F50" s="148"/>
      <c r="G50" s="148"/>
      <c r="H50" s="148"/>
      <c r="I50" s="148"/>
      <c r="J50" s="148"/>
      <c r="K50" s="3"/>
      <c r="L50" s="3"/>
      <c r="M50" s="3"/>
    </row>
    <row r="51" spans="1:15" ht="45" x14ac:dyDescent="0.25">
      <c r="A51" s="151" t="s">
        <v>324</v>
      </c>
      <c r="B51" s="241">
        <v>4335</v>
      </c>
      <c r="C51" s="231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5" x14ac:dyDescent="0.25">
      <c r="A52" s="156" t="s">
        <v>325</v>
      </c>
      <c r="B52" s="177"/>
      <c r="C52" s="229"/>
      <c r="D52" s="346"/>
      <c r="E52" s="346"/>
      <c r="F52" s="346"/>
      <c r="G52" s="346"/>
      <c r="H52" s="346"/>
      <c r="I52" s="346"/>
    </row>
    <row r="53" spans="1:15" x14ac:dyDescent="0.25">
      <c r="A53" s="155" t="s">
        <v>326</v>
      </c>
      <c r="B53" s="283" t="s">
        <v>327</v>
      </c>
      <c r="D53" s="346"/>
      <c r="E53" s="346"/>
      <c r="F53" s="346"/>
      <c r="G53" s="346"/>
      <c r="H53" s="346"/>
      <c r="I53" s="346"/>
    </row>
    <row r="54" spans="1:15" x14ac:dyDescent="0.25">
      <c r="A54" s="177" t="s">
        <v>328</v>
      </c>
      <c r="B54" s="177"/>
      <c r="C54" s="229">
        <f>C27/$B$51</f>
        <v>0</v>
      </c>
      <c r="D54" s="346"/>
      <c r="E54" s="346"/>
      <c r="F54" s="346"/>
      <c r="G54" s="346"/>
      <c r="H54" s="346"/>
      <c r="I54" s="346"/>
    </row>
    <row r="55" spans="1:15" x14ac:dyDescent="0.25">
      <c r="A55" s="177"/>
      <c r="B55" s="177"/>
      <c r="C55" s="229"/>
      <c r="D55" s="346"/>
      <c r="E55" s="346"/>
      <c r="F55" s="346"/>
      <c r="G55" s="346"/>
      <c r="H55" s="346"/>
      <c r="I55" s="346"/>
    </row>
    <row r="56" spans="1:15" ht="15" customHeight="1" x14ac:dyDescent="0.25">
      <c r="A56" s="215" t="s">
        <v>329</v>
      </c>
      <c r="B56" s="177"/>
      <c r="C56" s="229"/>
      <c r="D56" s="415" t="s">
        <v>330</v>
      </c>
      <c r="E56" s="416"/>
      <c r="F56" s="415" t="s">
        <v>331</v>
      </c>
      <c r="G56" s="416"/>
      <c r="H56" s="415" t="s">
        <v>332</v>
      </c>
      <c r="I56" s="416"/>
      <c r="J56" s="415" t="s">
        <v>333</v>
      </c>
      <c r="K56" s="416"/>
      <c r="L56" s="415" t="s">
        <v>334</v>
      </c>
      <c r="M56" s="416"/>
    </row>
    <row r="57" spans="1:15" ht="15" customHeight="1" x14ac:dyDescent="0.25">
      <c r="A57" s="215"/>
      <c r="B57" s="177"/>
      <c r="C57" s="229"/>
      <c r="D57" s="422">
        <f>D24</f>
        <v>2024</v>
      </c>
      <c r="E57" s="422"/>
      <c r="F57" s="422">
        <f>F4</f>
        <v>2025</v>
      </c>
      <c r="G57" s="422"/>
      <c r="H57" s="422">
        <f>G4</f>
        <v>2026</v>
      </c>
      <c r="I57" s="422"/>
      <c r="J57" s="422">
        <f>H4</f>
        <v>2027</v>
      </c>
      <c r="K57" s="422"/>
      <c r="L57" s="422">
        <f>I4</f>
        <v>2028</v>
      </c>
      <c r="M57" s="422"/>
    </row>
    <row r="58" spans="1:15" x14ac:dyDescent="0.25">
      <c r="A58" s="177"/>
      <c r="B58" s="177"/>
      <c r="C58" s="229"/>
      <c r="D58" s="196" t="s">
        <v>301</v>
      </c>
      <c r="E58" s="196" t="s">
        <v>302</v>
      </c>
      <c r="F58" s="196" t="s">
        <v>303</v>
      </c>
      <c r="G58" s="196" t="s">
        <v>304</v>
      </c>
      <c r="H58" s="196" t="s">
        <v>305</v>
      </c>
      <c r="I58" s="196" t="s">
        <v>306</v>
      </c>
      <c r="J58" s="196" t="s">
        <v>307</v>
      </c>
      <c r="K58" s="196" t="s">
        <v>308</v>
      </c>
      <c r="L58" s="196" t="s">
        <v>309</v>
      </c>
      <c r="M58" s="196" t="s">
        <v>310</v>
      </c>
    </row>
    <row r="59" spans="1:15" x14ac:dyDescent="0.25">
      <c r="A59" s="191" t="s">
        <v>335</v>
      </c>
      <c r="B59" s="192"/>
      <c r="C59" s="232">
        <f>C55</f>
        <v>0</v>
      </c>
      <c r="D59" s="239">
        <f t="shared" ref="D59:K59" si="39">D27/$B$51</f>
        <v>0</v>
      </c>
      <c r="E59" s="239">
        <f t="shared" si="39"/>
        <v>0</v>
      </c>
      <c r="F59" s="239">
        <f t="shared" si="39"/>
        <v>0</v>
      </c>
      <c r="G59" s="239">
        <f t="shared" si="39"/>
        <v>0</v>
      </c>
      <c r="H59" s="239">
        <f t="shared" si="39"/>
        <v>0</v>
      </c>
      <c r="I59" s="239">
        <f t="shared" si="39"/>
        <v>0</v>
      </c>
      <c r="J59" s="239">
        <f t="shared" si="39"/>
        <v>0</v>
      </c>
      <c r="K59" s="239">
        <f t="shared" si="39"/>
        <v>0</v>
      </c>
      <c r="L59" s="239">
        <f t="shared" ref="L59:M59" si="40">L27/$B$51</f>
        <v>0</v>
      </c>
      <c r="M59" s="239">
        <f t="shared" si="40"/>
        <v>0</v>
      </c>
    </row>
    <row r="60" spans="1:15" ht="18.75" x14ac:dyDescent="0.25">
      <c r="A60" s="261" t="s">
        <v>336</v>
      </c>
      <c r="B60" s="177"/>
      <c r="C60" s="229"/>
      <c r="D60" s="197">
        <f>D28/$B$51</f>
        <v>0</v>
      </c>
      <c r="E60" s="197">
        <f t="shared" ref="E60:K60" si="41">E28/$B$51</f>
        <v>0</v>
      </c>
      <c r="F60" s="197">
        <f t="shared" si="41"/>
        <v>0</v>
      </c>
      <c r="G60" s="197">
        <f t="shared" si="41"/>
        <v>0</v>
      </c>
      <c r="H60" s="197">
        <f t="shared" si="41"/>
        <v>0</v>
      </c>
      <c r="I60" s="197">
        <f t="shared" si="41"/>
        <v>0</v>
      </c>
      <c r="J60" s="197">
        <f t="shared" si="41"/>
        <v>0</v>
      </c>
      <c r="K60" s="197">
        <f t="shared" si="41"/>
        <v>0</v>
      </c>
      <c r="L60" s="197">
        <f t="shared" ref="L60:M60" si="42">L28/$B$51</f>
        <v>0</v>
      </c>
      <c r="M60" s="197">
        <f t="shared" si="42"/>
        <v>0</v>
      </c>
      <c r="O60" s="73">
        <f t="shared" ref="O60:O61" si="43">SUM(D60:K60)</f>
        <v>0</v>
      </c>
    </row>
    <row r="61" spans="1:15" x14ac:dyDescent="0.25">
      <c r="A61" s="193" t="s">
        <v>337</v>
      </c>
      <c r="B61" s="177"/>
      <c r="C61" s="229"/>
      <c r="D61" s="197">
        <f>D30/$B$51</f>
        <v>0</v>
      </c>
      <c r="E61" s="197">
        <f t="shared" ref="E61:K61" si="44">E30/$B$51</f>
        <v>0</v>
      </c>
      <c r="F61" s="197">
        <f t="shared" si="44"/>
        <v>0</v>
      </c>
      <c r="G61" s="197">
        <f t="shared" si="44"/>
        <v>0</v>
      </c>
      <c r="H61" s="197">
        <f t="shared" si="44"/>
        <v>0</v>
      </c>
      <c r="I61" s="197">
        <f t="shared" si="44"/>
        <v>0</v>
      </c>
      <c r="J61" s="197">
        <f t="shared" si="44"/>
        <v>0</v>
      </c>
      <c r="K61" s="197">
        <f t="shared" si="44"/>
        <v>0</v>
      </c>
      <c r="L61" s="197">
        <f t="shared" ref="L61:M61" si="45">L30/$B$51</f>
        <v>0</v>
      </c>
      <c r="M61" s="197">
        <f t="shared" si="45"/>
        <v>0</v>
      </c>
      <c r="O61" s="73">
        <f t="shared" si="43"/>
        <v>0</v>
      </c>
    </row>
    <row r="62" spans="1:15" x14ac:dyDescent="0.25">
      <c r="A62" s="194" t="s">
        <v>338</v>
      </c>
      <c r="B62" s="195"/>
      <c r="C62" s="233"/>
      <c r="D62" s="240">
        <f>SUM(D60+D61)</f>
        <v>0</v>
      </c>
      <c r="E62" s="240">
        <f t="shared" ref="E62:K62" si="46">SUM(E60+E61)</f>
        <v>0</v>
      </c>
      <c r="F62" s="240">
        <f>SUM(F60+F61)</f>
        <v>0</v>
      </c>
      <c r="G62" s="240">
        <f t="shared" si="46"/>
        <v>0</v>
      </c>
      <c r="H62" s="240">
        <f t="shared" si="46"/>
        <v>0</v>
      </c>
      <c r="I62" s="240">
        <f t="shared" si="46"/>
        <v>0</v>
      </c>
      <c r="J62" s="240">
        <f t="shared" si="46"/>
        <v>0</v>
      </c>
      <c r="K62" s="240">
        <f t="shared" si="46"/>
        <v>0</v>
      </c>
      <c r="L62" s="240">
        <f t="shared" ref="L62:M62" si="47">SUM(L60+L61)</f>
        <v>0</v>
      </c>
      <c r="M62" s="240">
        <f t="shared" si="47"/>
        <v>0</v>
      </c>
      <c r="O62" s="229">
        <f>SUM(O60+O61)</f>
        <v>0</v>
      </c>
    </row>
    <row r="63" spans="1:15" x14ac:dyDescent="0.25">
      <c r="A63" s="177"/>
      <c r="B63" s="177"/>
      <c r="C63" s="229"/>
      <c r="D63" s="346"/>
      <c r="E63" s="346"/>
      <c r="F63" s="346"/>
      <c r="G63" s="346"/>
      <c r="H63" s="346"/>
      <c r="I63" s="346"/>
    </row>
    <row r="64" spans="1:15" ht="18.75" customHeight="1" x14ac:dyDescent="0.25">
      <c r="A64" s="276" t="s">
        <v>339</v>
      </c>
      <c r="B64" s="177"/>
      <c r="C64" s="278">
        <v>0</v>
      </c>
      <c r="D64" s="415" t="s">
        <v>330</v>
      </c>
      <c r="E64" s="416"/>
      <c r="F64" s="415" t="s">
        <v>331</v>
      </c>
      <c r="G64" s="416"/>
      <c r="H64" s="415" t="s">
        <v>332</v>
      </c>
      <c r="I64" s="416"/>
      <c r="J64" s="415" t="s">
        <v>333</v>
      </c>
      <c r="K64" s="416"/>
      <c r="L64" s="415" t="s">
        <v>334</v>
      </c>
      <c r="M64" s="416"/>
    </row>
    <row r="65" spans="1:15" ht="18.75" customHeight="1" x14ac:dyDescent="0.25">
      <c r="A65" s="276"/>
      <c r="B65" s="177"/>
      <c r="C65" s="420"/>
      <c r="D65" s="422">
        <f>D57</f>
        <v>2024</v>
      </c>
      <c r="E65" s="422"/>
      <c r="F65" s="422">
        <f>F57</f>
        <v>2025</v>
      </c>
      <c r="G65" s="422"/>
      <c r="H65" s="422">
        <f>H57</f>
        <v>2026</v>
      </c>
      <c r="I65" s="422"/>
      <c r="J65" s="422">
        <f>J57</f>
        <v>2027</v>
      </c>
      <c r="K65" s="422"/>
      <c r="L65" s="422">
        <f>L57</f>
        <v>2028</v>
      </c>
      <c r="M65" s="422"/>
    </row>
    <row r="66" spans="1:15" ht="21" customHeight="1" thickBot="1" x14ac:dyDescent="0.3">
      <c r="A66" s="123"/>
      <c r="B66" s="177"/>
      <c r="C66" s="229"/>
      <c r="D66" s="196" t="s">
        <v>301</v>
      </c>
      <c r="E66" s="196" t="s">
        <v>302</v>
      </c>
      <c r="F66" s="196" t="s">
        <v>303</v>
      </c>
      <c r="G66" s="196" t="s">
        <v>304</v>
      </c>
      <c r="H66" s="196" t="s">
        <v>305</v>
      </c>
      <c r="I66" s="196" t="s">
        <v>306</v>
      </c>
      <c r="J66" s="196" t="s">
        <v>307</v>
      </c>
      <c r="K66" s="196" t="s">
        <v>308</v>
      </c>
      <c r="L66" s="196" t="s">
        <v>309</v>
      </c>
      <c r="M66" s="196" t="s">
        <v>310</v>
      </c>
    </row>
    <row r="67" spans="1:15" x14ac:dyDescent="0.25">
      <c r="A67" s="191" t="s">
        <v>335</v>
      </c>
      <c r="B67" s="192"/>
      <c r="C67" s="263"/>
      <c r="D67" s="264">
        <f>C64</f>
        <v>0</v>
      </c>
      <c r="E67" s="265">
        <f>D67-D69</f>
        <v>0</v>
      </c>
      <c r="F67" s="265">
        <f t="shared" ref="F67:M67" si="48">E67-E69</f>
        <v>0</v>
      </c>
      <c r="G67" s="265">
        <f t="shared" si="48"/>
        <v>0</v>
      </c>
      <c r="H67" s="265">
        <f t="shared" si="48"/>
        <v>0</v>
      </c>
      <c r="I67" s="265">
        <f t="shared" si="48"/>
        <v>0</v>
      </c>
      <c r="J67" s="265">
        <f t="shared" si="48"/>
        <v>0</v>
      </c>
      <c r="K67" s="265">
        <f t="shared" si="48"/>
        <v>0</v>
      </c>
      <c r="L67" s="265">
        <f t="shared" si="48"/>
        <v>0</v>
      </c>
      <c r="M67" s="266">
        <f t="shared" si="48"/>
        <v>0</v>
      </c>
    </row>
    <row r="68" spans="1:15" ht="15.75" x14ac:dyDescent="0.25">
      <c r="A68" s="277" t="s">
        <v>340</v>
      </c>
      <c r="B68" s="177"/>
      <c r="C68" s="267">
        <f>B28</f>
        <v>7.0000000000000007E-2</v>
      </c>
      <c r="D68" s="279">
        <f>(D67*$C$68)/2</f>
        <v>0</v>
      </c>
      <c r="E68" s="280">
        <f t="shared" ref="E68:M68" si="49">(E67*$C$68)/2</f>
        <v>0</v>
      </c>
      <c r="F68" s="280">
        <f t="shared" si="49"/>
        <v>0</v>
      </c>
      <c r="G68" s="280">
        <f t="shared" si="49"/>
        <v>0</v>
      </c>
      <c r="H68" s="280">
        <f t="shared" si="49"/>
        <v>0</v>
      </c>
      <c r="I68" s="280">
        <f t="shared" si="49"/>
        <v>0</v>
      </c>
      <c r="J68" s="280">
        <f t="shared" si="49"/>
        <v>0</v>
      </c>
      <c r="K68" s="280">
        <f t="shared" si="49"/>
        <v>0</v>
      </c>
      <c r="L68" s="280">
        <f t="shared" si="49"/>
        <v>0</v>
      </c>
      <c r="M68" s="281">
        <f t="shared" si="49"/>
        <v>0</v>
      </c>
    </row>
    <row r="69" spans="1:15" x14ac:dyDescent="0.25">
      <c r="A69" s="193" t="s">
        <v>337</v>
      </c>
      <c r="B69" s="177"/>
      <c r="C69" s="268"/>
      <c r="D69" s="282">
        <f>$C$64*0%</f>
        <v>0</v>
      </c>
      <c r="E69" s="269">
        <f>$C$64*10%</f>
        <v>0</v>
      </c>
      <c r="F69" s="269">
        <f>$C$64*10%</f>
        <v>0</v>
      </c>
      <c r="G69" s="269">
        <f>$C$64*10%</f>
        <v>0</v>
      </c>
      <c r="H69" s="269">
        <f>$C$64*15%</f>
        <v>0</v>
      </c>
      <c r="I69" s="269">
        <f>$C$64*15%</f>
        <v>0</v>
      </c>
      <c r="J69" s="269">
        <f>$C$64*20%</f>
        <v>0</v>
      </c>
      <c r="K69" s="270">
        <f>K67</f>
        <v>0</v>
      </c>
      <c r="L69" s="269">
        <v>0</v>
      </c>
      <c r="M69" s="271">
        <v>0</v>
      </c>
      <c r="N69" t="s">
        <v>315</v>
      </c>
      <c r="O69" s="73">
        <f>SUM(D69:M69)</f>
        <v>0</v>
      </c>
    </row>
    <row r="70" spans="1:15" ht="15.75" thickBot="1" x14ac:dyDescent="0.3">
      <c r="A70" s="194" t="s">
        <v>338</v>
      </c>
      <c r="B70" s="195"/>
      <c r="C70" s="272"/>
      <c r="D70" s="273">
        <f>SUM(D68+D69)</f>
        <v>0</v>
      </c>
      <c r="E70" s="274">
        <f>SUM(E68+E69)</f>
        <v>0</v>
      </c>
      <c r="F70" s="274">
        <f>SUM(F68+F69)</f>
        <v>0</v>
      </c>
      <c r="G70" s="274">
        <f>SUM(G68+G69)</f>
        <v>0</v>
      </c>
      <c r="H70" s="274">
        <f t="shared" ref="H70:M70" si="50">SUM(H68+H69)</f>
        <v>0</v>
      </c>
      <c r="I70" s="274">
        <f t="shared" si="50"/>
        <v>0</v>
      </c>
      <c r="J70" s="274">
        <f t="shared" si="50"/>
        <v>0</v>
      </c>
      <c r="K70" s="274">
        <f t="shared" si="50"/>
        <v>0</v>
      </c>
      <c r="L70" s="274">
        <f t="shared" si="50"/>
        <v>0</v>
      </c>
      <c r="M70" s="275">
        <f t="shared" si="50"/>
        <v>0</v>
      </c>
    </row>
    <row r="71" spans="1:15" x14ac:dyDescent="0.25">
      <c r="A71" s="177"/>
      <c r="B71" s="177"/>
      <c r="C71" s="229"/>
      <c r="D71" s="346"/>
      <c r="E71" s="346"/>
      <c r="F71" s="346"/>
      <c r="G71" s="346"/>
      <c r="H71" s="346"/>
      <c r="I71" s="346"/>
    </row>
    <row r="72" spans="1:15" x14ac:dyDescent="0.25">
      <c r="A72" s="123"/>
      <c r="B72" s="177"/>
      <c r="C72" s="229"/>
      <c r="D72" s="346"/>
      <c r="E72" s="346"/>
      <c r="F72" s="346"/>
      <c r="G72" s="346"/>
      <c r="H72" s="346"/>
      <c r="I72" s="346"/>
    </row>
    <row r="73" spans="1:15" ht="15.75" thickBot="1" x14ac:dyDescent="0.3">
      <c r="A73" s="107" t="s">
        <v>69</v>
      </c>
    </row>
    <row r="74" spans="1:15" ht="15.75" x14ac:dyDescent="0.25">
      <c r="A74" s="178" t="s">
        <v>70</v>
      </c>
      <c r="B74" s="179" t="s">
        <v>341</v>
      </c>
      <c r="C74" s="234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1"/>
    </row>
    <row r="75" spans="1:15" x14ac:dyDescent="0.25">
      <c r="A75" s="182"/>
      <c r="B75" s="183" t="s">
        <v>342</v>
      </c>
      <c r="N75" s="184"/>
    </row>
    <row r="76" spans="1:15" ht="15.75" x14ac:dyDescent="0.25">
      <c r="A76" s="185" t="s">
        <v>343</v>
      </c>
      <c r="B76" s="186" t="s">
        <v>344</v>
      </c>
      <c r="N76" s="184"/>
    </row>
    <row r="77" spans="1:15" x14ac:dyDescent="0.25">
      <c r="A77" s="185"/>
      <c r="B77" s="188" t="s">
        <v>345</v>
      </c>
      <c r="C77" s="119"/>
      <c r="D77" s="88"/>
      <c r="E77" s="88"/>
      <c r="F77" s="88"/>
      <c r="G77" s="88"/>
      <c r="H77" s="88"/>
      <c r="I77" s="88"/>
      <c r="N77" s="184"/>
    </row>
    <row r="78" spans="1:15" x14ac:dyDescent="0.25">
      <c r="A78" s="185"/>
      <c r="B78" s="88" t="s">
        <v>346</v>
      </c>
      <c r="C78" s="119"/>
      <c r="D78" s="88"/>
      <c r="E78" s="88"/>
      <c r="F78" s="88"/>
      <c r="G78" s="88"/>
      <c r="H78" s="88"/>
      <c r="I78" s="88"/>
      <c r="N78" s="184"/>
    </row>
    <row r="79" spans="1:15" x14ac:dyDescent="0.25">
      <c r="A79" s="187"/>
      <c r="N79" s="184"/>
    </row>
    <row r="80" spans="1:15" ht="15" customHeight="1" x14ac:dyDescent="0.25">
      <c r="A80" s="185" t="s">
        <v>343</v>
      </c>
      <c r="B80" s="412" t="s">
        <v>347</v>
      </c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4"/>
    </row>
    <row r="81" spans="1:14" ht="15.75" thickBot="1" x14ac:dyDescent="0.3">
      <c r="B81" s="109"/>
      <c r="C81" s="235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10"/>
    </row>
    <row r="82" spans="1:14" ht="15.75" thickBot="1" x14ac:dyDescent="0.3">
      <c r="A82" s="127" t="s">
        <v>273</v>
      </c>
      <c r="B82" s="216" t="s">
        <v>348</v>
      </c>
      <c r="C82" s="236"/>
      <c r="D82" s="128"/>
      <c r="E82" s="128"/>
      <c r="F82" s="128"/>
      <c r="G82" s="128"/>
      <c r="H82" s="128"/>
      <c r="I82" s="128"/>
      <c r="J82" s="129"/>
      <c r="K82" s="129"/>
      <c r="L82" s="129"/>
      <c r="M82" s="129"/>
      <c r="N82" s="130"/>
    </row>
    <row r="84" spans="1:14" x14ac:dyDescent="0.25">
      <c r="A84" s="167" t="s">
        <v>349</v>
      </c>
      <c r="B84" s="217" t="s">
        <v>350</v>
      </c>
      <c r="C84" s="237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9"/>
    </row>
    <row r="86" spans="1:14" x14ac:dyDescent="0.25">
      <c r="A86" s="101" t="s">
        <v>351</v>
      </c>
      <c r="B86" s="108" t="s">
        <v>352</v>
      </c>
      <c r="C86" s="23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2"/>
    </row>
    <row r="87" spans="1:14" ht="15.75" thickBot="1" x14ac:dyDescent="0.3">
      <c r="A87" s="131"/>
      <c r="B87" s="117" t="s">
        <v>353</v>
      </c>
      <c r="C87" s="235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10"/>
    </row>
  </sheetData>
  <mergeCells count="29">
    <mergeCell ref="H57:I57"/>
    <mergeCell ref="J57:K57"/>
    <mergeCell ref="L57:M57"/>
    <mergeCell ref="D65:E65"/>
    <mergeCell ref="F65:G65"/>
    <mergeCell ref="H65:I65"/>
    <mergeCell ref="J65:K65"/>
    <mergeCell ref="L65:M65"/>
    <mergeCell ref="L23:M23"/>
    <mergeCell ref="B80:N80"/>
    <mergeCell ref="D56:E56"/>
    <mergeCell ref="F56:G56"/>
    <mergeCell ref="H56:I56"/>
    <mergeCell ref="J56:K56"/>
    <mergeCell ref="H23:I23"/>
    <mergeCell ref="J23:K23"/>
    <mergeCell ref="L56:M56"/>
    <mergeCell ref="D64:E64"/>
    <mergeCell ref="F64:G64"/>
    <mergeCell ref="H64:I64"/>
    <mergeCell ref="J64:K64"/>
    <mergeCell ref="L64:M64"/>
    <mergeCell ref="D57:E57"/>
    <mergeCell ref="F57:G57"/>
    <mergeCell ref="A19:C19"/>
    <mergeCell ref="A17:C17"/>
    <mergeCell ref="A15:C15"/>
    <mergeCell ref="C23:E23"/>
    <mergeCell ref="F23:G23"/>
  </mergeCells>
  <printOptions gridLines="1"/>
  <pageMargins left="0.7" right="0.7" top="0.75" bottom="0.75" header="0.3" footer="0.3"/>
  <pageSetup paperSize="8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6"/>
  <sheetViews>
    <sheetView zoomScaleNormal="100" workbookViewId="0">
      <pane ySplit="3" topLeftCell="A4" activePane="bottomLeft" state="frozen"/>
      <selection pane="bottomLeft" activeCell="D3" sqref="D3"/>
    </sheetView>
  </sheetViews>
  <sheetFormatPr defaultRowHeight="15" x14ac:dyDescent="0.25"/>
  <cols>
    <col min="1" max="1" width="16.42578125" customWidth="1"/>
    <col min="2" max="2" width="34" customWidth="1"/>
    <col min="3" max="3" width="45.5703125" customWidth="1"/>
    <col min="4" max="4" width="15.85546875" style="30" customWidth="1"/>
    <col min="5" max="5" width="13" style="73" customWidth="1"/>
    <col min="6" max="6" width="15.85546875" style="73" customWidth="1"/>
    <col min="7" max="7" width="14" style="73" customWidth="1"/>
    <col min="8" max="8" width="13.85546875" style="73" customWidth="1"/>
    <col min="9" max="9" width="13.7109375" style="73" customWidth="1"/>
  </cols>
  <sheetData>
    <row r="1" spans="1:9" ht="18.75" x14ac:dyDescent="0.3">
      <c r="A1" s="417" t="s">
        <v>354</v>
      </c>
      <c r="B1" s="417"/>
      <c r="C1" s="307" t="str">
        <f>'Sales &amp; Grossmargin forecast '!B1</f>
        <v>Drafted in UGX</v>
      </c>
      <c r="D1" s="2" t="s">
        <v>258</v>
      </c>
      <c r="E1" s="2" t="s">
        <v>259</v>
      </c>
    </row>
    <row r="2" spans="1:9" x14ac:dyDescent="0.25">
      <c r="D2" s="342" t="s">
        <v>47</v>
      </c>
      <c r="E2" s="228" t="s">
        <v>253</v>
      </c>
      <c r="F2" s="228" t="s">
        <v>254</v>
      </c>
      <c r="G2" s="228" t="s">
        <v>355</v>
      </c>
      <c r="H2" s="228" t="s">
        <v>356</v>
      </c>
      <c r="I2" s="228" t="s">
        <v>357</v>
      </c>
    </row>
    <row r="3" spans="1:9" x14ac:dyDescent="0.25">
      <c r="D3" s="342">
        <f>'Working Capital'!J4</f>
        <v>2023</v>
      </c>
      <c r="E3" s="367">
        <f>D3+1</f>
        <v>2024</v>
      </c>
      <c r="F3" s="367">
        <f>E3+1</f>
        <v>2025</v>
      </c>
      <c r="G3" s="367">
        <f>F3+1</f>
        <v>2026</v>
      </c>
      <c r="H3" s="367">
        <f>G3+1</f>
        <v>2027</v>
      </c>
      <c r="I3" s="367">
        <f>H3+1</f>
        <v>2028</v>
      </c>
    </row>
    <row r="4" spans="1:9" x14ac:dyDescent="0.25">
      <c r="A4" t="s">
        <v>152</v>
      </c>
      <c r="D4" s="339">
        <f>SUM(D6:D8)</f>
        <v>0</v>
      </c>
      <c r="E4" s="67">
        <f>SUM(E6:E8)</f>
        <v>333000000</v>
      </c>
      <c r="F4" s="67">
        <f t="shared" ref="F4:G4" si="0">SUM(F6:F8)</f>
        <v>306400000</v>
      </c>
      <c r="G4" s="67">
        <f t="shared" si="0"/>
        <v>279800000</v>
      </c>
      <c r="H4" s="67">
        <f t="shared" ref="H4:I4" si="1">SUM(H6:H8)</f>
        <v>253200000</v>
      </c>
      <c r="I4" s="67">
        <f t="shared" si="1"/>
        <v>226600000</v>
      </c>
    </row>
    <row r="5" spans="1:9" x14ac:dyDescent="0.25">
      <c r="D5" s="119"/>
    </row>
    <row r="6" spans="1:9" x14ac:dyDescent="0.25">
      <c r="B6" t="s">
        <v>358</v>
      </c>
      <c r="D6" s="119"/>
      <c r="E6" s="73">
        <f>Investments!V31</f>
        <v>0</v>
      </c>
      <c r="F6" s="73">
        <f>Investments!W31</f>
        <v>0</v>
      </c>
      <c r="G6" s="73">
        <f>Investments!X31</f>
        <v>0</v>
      </c>
      <c r="H6" s="73">
        <f>Investments!Y31</f>
        <v>0</v>
      </c>
      <c r="I6" s="73">
        <f>Investments!Z31</f>
        <v>0</v>
      </c>
    </row>
    <row r="7" spans="1:9" x14ac:dyDescent="0.25">
      <c r="B7" t="s">
        <v>187</v>
      </c>
      <c r="D7" s="343">
        <v>0</v>
      </c>
      <c r="E7" s="73">
        <f>Investments!V27</f>
        <v>333000000</v>
      </c>
      <c r="F7" s="73">
        <f>Investments!W27</f>
        <v>306400000</v>
      </c>
      <c r="G7" s="73">
        <f>Investments!X27</f>
        <v>279800000</v>
      </c>
      <c r="H7" s="73">
        <f>Investments!Y27</f>
        <v>253200000</v>
      </c>
      <c r="I7" s="73">
        <f>Investments!Z27</f>
        <v>226600000</v>
      </c>
    </row>
    <row r="8" spans="1:9" x14ac:dyDescent="0.25">
      <c r="B8" t="s">
        <v>359</v>
      </c>
      <c r="D8" s="125"/>
      <c r="E8" s="73">
        <f>Investments!V29</f>
        <v>0</v>
      </c>
      <c r="F8" s="73">
        <f>Investments!W29</f>
        <v>0</v>
      </c>
      <c r="G8" s="73">
        <f>Investments!X29</f>
        <v>0</v>
      </c>
      <c r="H8" s="73">
        <f>Investments!Y29</f>
        <v>0</v>
      </c>
      <c r="I8" s="73">
        <f>Investments!Z29</f>
        <v>0</v>
      </c>
    </row>
    <row r="9" spans="1:9" x14ac:dyDescent="0.25">
      <c r="D9" s="125"/>
    </row>
    <row r="10" spans="1:9" x14ac:dyDescent="0.25">
      <c r="A10" t="s">
        <v>360</v>
      </c>
      <c r="D10" s="339">
        <f>SUM(D12:D15)</f>
        <v>0</v>
      </c>
      <c r="E10" s="67">
        <f>SUM(E12:E15)</f>
        <v>34300000</v>
      </c>
      <c r="F10" s="67">
        <f t="shared" ref="F10:G10" si="2">SUM(F12:F15)</f>
        <v>34300000</v>
      </c>
      <c r="G10" s="67">
        <f t="shared" si="2"/>
        <v>34300000</v>
      </c>
      <c r="H10" s="67">
        <f t="shared" ref="H10:I10" si="3">SUM(H12:H15)</f>
        <v>34300000</v>
      </c>
      <c r="I10" s="67">
        <f t="shared" si="3"/>
        <v>34300000</v>
      </c>
    </row>
    <row r="11" spans="1:9" x14ac:dyDescent="0.25">
      <c r="D11" s="125"/>
    </row>
    <row r="12" spans="1:9" x14ac:dyDescent="0.25">
      <c r="B12" t="s">
        <v>361</v>
      </c>
      <c r="D12" s="343">
        <v>0</v>
      </c>
      <c r="E12" s="73">
        <f>'Working Capital'!K6</f>
        <v>0</v>
      </c>
      <c r="F12" s="73">
        <f>'Working Capital'!L6</f>
        <v>0</v>
      </c>
      <c r="G12" s="73">
        <f>'Working Capital'!M6</f>
        <v>0</v>
      </c>
      <c r="H12" s="73">
        <f>'Working Capital'!N6</f>
        <v>0</v>
      </c>
      <c r="I12" s="73">
        <f>'Working Capital'!O6</f>
        <v>0</v>
      </c>
    </row>
    <row r="13" spans="1:9" x14ac:dyDescent="0.25">
      <c r="B13" t="s">
        <v>362</v>
      </c>
      <c r="D13" s="343">
        <v>0</v>
      </c>
      <c r="E13" s="73">
        <f>'Working Capital'!K10</f>
        <v>0</v>
      </c>
      <c r="F13" s="73">
        <f>'Working Capital'!L10</f>
        <v>0</v>
      </c>
      <c r="G13" s="73">
        <f>'Working Capital'!M10</f>
        <v>0</v>
      </c>
      <c r="H13" s="73">
        <f>'Working Capital'!N10</f>
        <v>0</v>
      </c>
      <c r="I13" s="73">
        <f>'Working Capital'!O10</f>
        <v>0</v>
      </c>
    </row>
    <row r="14" spans="1:9" x14ac:dyDescent="0.25">
      <c r="B14" t="s">
        <v>363</v>
      </c>
      <c r="D14" s="34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</row>
    <row r="15" spans="1:9" x14ac:dyDescent="0.25">
      <c r="B15" t="s">
        <v>364</v>
      </c>
      <c r="D15" s="343">
        <v>0</v>
      </c>
      <c r="E15" s="73">
        <f>'P&amp;L and Cashflowstatement'!F54</f>
        <v>34300000</v>
      </c>
      <c r="F15" s="73">
        <f>'P&amp;L and Cashflowstatement'!H54</f>
        <v>34300000</v>
      </c>
      <c r="G15" s="73">
        <f>'P&amp;L and Cashflowstatement'!J54</f>
        <v>34300000</v>
      </c>
      <c r="H15" s="73">
        <f>'P&amp;L and Cashflowstatement'!L54</f>
        <v>34300000</v>
      </c>
      <c r="I15" s="73">
        <f>'P&amp;L and Cashflowstatement'!N54</f>
        <v>34300000</v>
      </c>
    </row>
    <row r="16" spans="1:9" x14ac:dyDescent="0.25">
      <c r="D16" s="125"/>
    </row>
    <row r="17" spans="1:9" x14ac:dyDescent="0.25">
      <c r="A17" s="1" t="s">
        <v>365</v>
      </c>
      <c r="B17" s="15" t="s">
        <v>366</v>
      </c>
      <c r="D17" s="339">
        <f>SUM(D4+D10)</f>
        <v>0</v>
      </c>
      <c r="E17" s="67">
        <f>SUM(E4+E10)</f>
        <v>367300000</v>
      </c>
      <c r="F17" s="67">
        <f t="shared" ref="F17:G17" si="4">SUM(F4+F10)</f>
        <v>340700000</v>
      </c>
      <c r="G17" s="67">
        <f t="shared" si="4"/>
        <v>314100000</v>
      </c>
      <c r="H17" s="67">
        <f t="shared" ref="H17:I17" si="5">SUM(H4+H10)</f>
        <v>287500000</v>
      </c>
      <c r="I17" s="67">
        <f t="shared" si="5"/>
        <v>260900000</v>
      </c>
    </row>
    <row r="18" spans="1:9" x14ac:dyDescent="0.25">
      <c r="D18" s="125"/>
    </row>
    <row r="19" spans="1:9" x14ac:dyDescent="0.25">
      <c r="A19" t="s">
        <v>367</v>
      </c>
      <c r="D19" s="339">
        <f>SUM(D21:D23)</f>
        <v>0</v>
      </c>
      <c r="E19" s="67">
        <f>SUM(E21:E23)</f>
        <v>-34300000</v>
      </c>
      <c r="F19" s="67">
        <f t="shared" ref="F19:G19" si="6">SUM(F21:F23)</f>
        <v>-60900000</v>
      </c>
      <c r="G19" s="67">
        <f t="shared" si="6"/>
        <v>-87500000</v>
      </c>
      <c r="H19" s="67">
        <f t="shared" ref="H19:I19" si="7">SUM(H21:H23)</f>
        <v>-114100000</v>
      </c>
      <c r="I19" s="67">
        <f t="shared" si="7"/>
        <v>-140700000</v>
      </c>
    </row>
    <row r="20" spans="1:9" x14ac:dyDescent="0.25">
      <c r="D20" s="125"/>
    </row>
    <row r="21" spans="1:9" x14ac:dyDescent="0.25">
      <c r="B21" t="s">
        <v>368</v>
      </c>
      <c r="D21" s="343">
        <v>0</v>
      </c>
      <c r="E21" s="73">
        <f>D21+'Financing sources'!D19</f>
        <v>34300000</v>
      </c>
      <c r="F21" s="73">
        <f>D21+'Financing sources'!D19+'Financing sources'!F19</f>
        <v>34300000</v>
      </c>
      <c r="G21" s="73">
        <f>D21+'Financing sources'!D19+'Financing sources'!F19+'Financing sources'!G19</f>
        <v>34300000</v>
      </c>
      <c r="H21" s="73">
        <f>D21+'Financing sources'!D19+'Financing sources'!F19+'Financing sources'!G19+'Financing sources'!H19</f>
        <v>34300000</v>
      </c>
      <c r="I21" s="73">
        <f>D21+'Financing sources'!D19+'Financing sources'!F19+'Financing sources'!G19+'Financing sources'!H19+'Financing sources'!I19</f>
        <v>34300000</v>
      </c>
    </row>
    <row r="22" spans="1:9" x14ac:dyDescent="0.25">
      <c r="B22" t="s">
        <v>369</v>
      </c>
      <c r="D22" s="343"/>
      <c r="E22" s="73">
        <f>'Financing sources'!D18</f>
        <v>0</v>
      </c>
      <c r="F22" s="73">
        <f>'Financing sources'!D18+'Financing sources'!F18</f>
        <v>0</v>
      </c>
      <c r="G22" s="73">
        <f>'Financing sources'!D18+'Financing sources'!F18+'Financing sources'!G18</f>
        <v>0</v>
      </c>
      <c r="H22" s="73">
        <f>'Financing sources'!D18+'Financing sources'!F18+'Financing sources'!G18+'Financing sources'!H18</f>
        <v>0</v>
      </c>
      <c r="I22" s="73">
        <f>'Financing sources'!D18+'Financing sources'!F18+'Financing sources'!G18+'Financing sources'!H18+'Financing sources'!I18</f>
        <v>0</v>
      </c>
    </row>
    <row r="23" spans="1:9" x14ac:dyDescent="0.25">
      <c r="B23" t="s">
        <v>370</v>
      </c>
      <c r="D23" s="343">
        <v>0</v>
      </c>
      <c r="E23" s="73">
        <f>D23+'P&amp;L and Cashflowstatement'!F32</f>
        <v>-68600000</v>
      </c>
      <c r="F23" s="73">
        <f>E23+'P&amp;L and Cashflowstatement'!H32</f>
        <v>-95200000</v>
      </c>
      <c r="G23" s="73">
        <f>F23+'P&amp;L and Cashflowstatement'!J32</f>
        <v>-121800000</v>
      </c>
      <c r="H23" s="73">
        <f>G23+'P&amp;L and Cashflowstatement'!L32</f>
        <v>-148400000</v>
      </c>
      <c r="I23" s="73">
        <f>H23+'P&amp;L and Cashflowstatement'!N32</f>
        <v>-175000000</v>
      </c>
    </row>
    <row r="24" spans="1:9" x14ac:dyDescent="0.25">
      <c r="D24" s="125"/>
    </row>
    <row r="25" spans="1:9" x14ac:dyDescent="0.25">
      <c r="A25" t="s">
        <v>371</v>
      </c>
      <c r="D25" s="339">
        <f>SUM(D27+D31)</f>
        <v>0</v>
      </c>
      <c r="E25" s="67">
        <f>SUM(E27+E31)</f>
        <v>0</v>
      </c>
      <c r="F25" s="67">
        <f t="shared" ref="F25:G25" si="8">SUM(F27+F31)</f>
        <v>0</v>
      </c>
      <c r="G25" s="67">
        <f t="shared" si="8"/>
        <v>0</v>
      </c>
      <c r="H25" s="67">
        <f t="shared" ref="H25:I25" si="9">SUM(H27+H31)</f>
        <v>0</v>
      </c>
      <c r="I25" s="67">
        <f t="shared" si="9"/>
        <v>0</v>
      </c>
    </row>
    <row r="26" spans="1:9" x14ac:dyDescent="0.25">
      <c r="D26" s="125"/>
      <c r="E26" s="249"/>
      <c r="F26" s="249"/>
      <c r="G26" s="249"/>
      <c r="H26" s="249"/>
      <c r="I26" s="249"/>
    </row>
    <row r="27" spans="1:9" x14ac:dyDescent="0.25">
      <c r="B27" t="s">
        <v>372</v>
      </c>
      <c r="D27" s="125"/>
      <c r="E27" s="67">
        <f t="shared" ref="E27:G27" si="10">SUM(E28:E29)</f>
        <v>0</v>
      </c>
      <c r="F27" s="67">
        <f t="shared" si="10"/>
        <v>0</v>
      </c>
      <c r="G27" s="67">
        <f t="shared" si="10"/>
        <v>0</v>
      </c>
      <c r="H27" s="67">
        <f t="shared" ref="H27:I27" si="11">SUM(H28:H29)</f>
        <v>0</v>
      </c>
      <c r="I27" s="67">
        <f t="shared" si="11"/>
        <v>0</v>
      </c>
    </row>
    <row r="28" spans="1:9" x14ac:dyDescent="0.25">
      <c r="B28" t="s">
        <v>373</v>
      </c>
      <c r="D28" s="125"/>
      <c r="E28" s="73">
        <f>('Financing sources'!E38-'Financing sources'!E40)-E32</f>
        <v>0</v>
      </c>
      <c r="F28" s="73">
        <f>('Financing sources'!G38-'Financing sources'!G40)-F32</f>
        <v>0</v>
      </c>
      <c r="G28" s="73">
        <f>('Financing sources'!I38-'Financing sources'!I40)-G32</f>
        <v>0</v>
      </c>
      <c r="H28" s="73">
        <f>('Financing sources'!J38-'Financing sources'!J40)-H32</f>
        <v>0</v>
      </c>
      <c r="I28" s="73">
        <f>('Financing sources'!K38-'Financing sources'!K40)-I32</f>
        <v>0</v>
      </c>
    </row>
    <row r="29" spans="1:9" x14ac:dyDescent="0.25">
      <c r="B29" t="s">
        <v>374</v>
      </c>
      <c r="D29" s="125"/>
      <c r="E29" s="73">
        <f>('Financing sources'!E27-'Financing sources'!E30+'Financing sources'!E34-'Financing sources'!E36)-E33</f>
        <v>0</v>
      </c>
      <c r="F29" s="73">
        <f>('Financing sources'!G27-'Financing sources'!G30+'Financing sources'!G34-'Financing sources'!G36)-F33</f>
        <v>0</v>
      </c>
      <c r="G29" s="73">
        <f>('Financing sources'!I27-'Financing sources'!I30+'Financing sources'!I34-'Financing sources'!I36)-G33</f>
        <v>0</v>
      </c>
      <c r="H29" s="73">
        <f>('Financing sources'!K27-'Financing sources'!K30+'Financing sources'!K34-'Financing sources'!K36)-H33</f>
        <v>0</v>
      </c>
      <c r="I29" s="73">
        <f>('Financing sources'!M27-'Financing sources'!M30+'Financing sources'!M34-'Financing sources'!M36)-I33</f>
        <v>0</v>
      </c>
    </row>
    <row r="30" spans="1:9" x14ac:dyDescent="0.25">
      <c r="D30" s="125"/>
    </row>
    <row r="31" spans="1:9" x14ac:dyDescent="0.25">
      <c r="B31" t="s">
        <v>375</v>
      </c>
      <c r="D31" s="339">
        <f t="shared" ref="D31:I31" si="12">SUM(D32:D35)</f>
        <v>0</v>
      </c>
      <c r="E31" s="67">
        <f t="shared" si="12"/>
        <v>0</v>
      </c>
      <c r="F31" s="67">
        <f t="shared" si="12"/>
        <v>0</v>
      </c>
      <c r="G31" s="67">
        <f t="shared" si="12"/>
        <v>0</v>
      </c>
      <c r="H31" s="67">
        <f t="shared" si="12"/>
        <v>0</v>
      </c>
      <c r="I31" s="67">
        <f t="shared" si="12"/>
        <v>0</v>
      </c>
    </row>
    <row r="32" spans="1:9" x14ac:dyDescent="0.25">
      <c r="B32" t="s">
        <v>376</v>
      </c>
      <c r="D32" s="125"/>
      <c r="E32" s="73">
        <f>'Financing sources'!F40+'Financing sources'!G40</f>
        <v>0</v>
      </c>
      <c r="F32" s="73">
        <f>'Financing sources'!H40+'Financing sources'!I40</f>
        <v>0</v>
      </c>
      <c r="G32" s="73">
        <f>'Financing sources'!J40+'Financing sources'!K40</f>
        <v>0</v>
      </c>
      <c r="H32" s="73">
        <f>'Financing sources'!K40+'Financing sources'!L40</f>
        <v>0</v>
      </c>
      <c r="I32" s="73">
        <f>'Financing sources'!L40+'Financing sources'!M40</f>
        <v>0</v>
      </c>
    </row>
    <row r="33" spans="1:15" x14ac:dyDescent="0.25">
      <c r="B33" t="s">
        <v>377</v>
      </c>
      <c r="D33" s="125"/>
      <c r="E33" s="73">
        <f>'Financing sources'!F30+'Financing sources'!G30+'Financing sources'!F36+'Financing sources'!G36</f>
        <v>0</v>
      </c>
      <c r="F33" s="73">
        <f>'Financing sources'!H30+'Financing sources'!I30+'Financing sources'!H36+'Financing sources'!I36</f>
        <v>0</v>
      </c>
      <c r="G33" s="73">
        <f>'Financing sources'!J30+'Financing sources'!K30+'Financing sources'!J36+'Financing sources'!K36</f>
        <v>0</v>
      </c>
      <c r="H33" s="73">
        <f>'Financing sources'!L30+'Financing sources'!M30+'Financing sources'!L36+'Financing sources'!M36</f>
        <v>0</v>
      </c>
      <c r="I33" s="73">
        <f>'Financing sources'!L30+'Financing sources'!M30+'Financing sources'!L36+'Financing sources'!M36</f>
        <v>0</v>
      </c>
    </row>
    <row r="34" spans="1:15" x14ac:dyDescent="0.25">
      <c r="B34" t="s">
        <v>275</v>
      </c>
      <c r="D34" s="343">
        <v>0</v>
      </c>
      <c r="E34" s="73">
        <f>'Working Capital'!K14</f>
        <v>0</v>
      </c>
      <c r="F34" s="73">
        <f>'Working Capital'!L14</f>
        <v>0</v>
      </c>
      <c r="G34" s="73">
        <f>'Working Capital'!M14</f>
        <v>0</v>
      </c>
      <c r="H34" s="73">
        <f>'Working Capital'!N14</f>
        <v>0</v>
      </c>
      <c r="I34" s="73">
        <f>'Working Capital'!O14</f>
        <v>0</v>
      </c>
    </row>
    <row r="35" spans="1:15" x14ac:dyDescent="0.25">
      <c r="B35" t="s">
        <v>378</v>
      </c>
      <c r="D35" s="125"/>
      <c r="E35" s="73">
        <f>'P&amp;L and Cashflowstatement'!F31</f>
        <v>0</v>
      </c>
      <c r="F35" s="73">
        <f>'P&amp;L and Cashflowstatement'!H31</f>
        <v>0</v>
      </c>
      <c r="G35" s="73">
        <f>'P&amp;L and Cashflowstatement'!J31</f>
        <v>0</v>
      </c>
      <c r="H35" s="73">
        <f>'P&amp;L and Cashflowstatement'!L31</f>
        <v>0</v>
      </c>
      <c r="I35" s="73">
        <f>'P&amp;L and Cashflowstatement'!N31</f>
        <v>0</v>
      </c>
    </row>
    <row r="36" spans="1:15" x14ac:dyDescent="0.25">
      <c r="D36" s="125"/>
    </row>
    <row r="37" spans="1:15" x14ac:dyDescent="0.25">
      <c r="A37" s="1" t="s">
        <v>379</v>
      </c>
      <c r="D37" s="339">
        <f>SUM(D19+D25)</f>
        <v>0</v>
      </c>
      <c r="E37" s="67">
        <f>SUM(E19+E25)</f>
        <v>-34300000</v>
      </c>
      <c r="F37" s="67">
        <f t="shared" ref="F37:G37" si="13">SUM(F19+F25)</f>
        <v>-60900000</v>
      </c>
      <c r="G37" s="67">
        <f t="shared" si="13"/>
        <v>-87500000</v>
      </c>
      <c r="H37" s="67">
        <f t="shared" ref="H37:I37" si="14">SUM(H19+H25)</f>
        <v>-114100000</v>
      </c>
      <c r="I37" s="67">
        <f t="shared" si="14"/>
        <v>-140700000</v>
      </c>
    </row>
    <row r="39" spans="1:15" ht="15.75" thickBot="1" x14ac:dyDescent="0.3">
      <c r="A39" s="107" t="s">
        <v>69</v>
      </c>
    </row>
    <row r="40" spans="1:15" ht="16.5" thickBot="1" x14ac:dyDescent="0.3">
      <c r="A40" s="418" t="s">
        <v>380</v>
      </c>
      <c r="B40" s="419"/>
      <c r="D40" s="163">
        <f>D37-D17</f>
        <v>0</v>
      </c>
      <c r="E40" s="250">
        <f>E37-E17</f>
        <v>-401600000</v>
      </c>
      <c r="F40" s="250">
        <f t="shared" ref="F40:G40" si="15">F37-F17</f>
        <v>-401600000</v>
      </c>
      <c r="G40" s="250">
        <f t="shared" si="15"/>
        <v>-401600000</v>
      </c>
      <c r="H40" s="250">
        <f t="shared" ref="H40:I40" si="16">H37-H17</f>
        <v>-401600000</v>
      </c>
      <c r="I40" s="250">
        <f t="shared" si="16"/>
        <v>-401600000</v>
      </c>
    </row>
    <row r="42" spans="1:15" x14ac:dyDescent="0.25">
      <c r="E42" s="228" t="s">
        <v>253</v>
      </c>
      <c r="F42" s="228" t="s">
        <v>254</v>
      </c>
      <c r="G42" s="228" t="s">
        <v>355</v>
      </c>
      <c r="H42" s="228" t="s">
        <v>356</v>
      </c>
      <c r="I42" s="228" t="s">
        <v>357</v>
      </c>
    </row>
    <row r="43" spans="1:15" x14ac:dyDescent="0.25">
      <c r="A43" s="1" t="s">
        <v>381</v>
      </c>
      <c r="E43" s="228">
        <f>E3</f>
        <v>2024</v>
      </c>
      <c r="F43" s="228">
        <f>F3</f>
        <v>2025</v>
      </c>
      <c r="G43" s="228">
        <f>G3</f>
        <v>2026</v>
      </c>
      <c r="H43" s="228">
        <f>H3</f>
        <v>2027</v>
      </c>
      <c r="I43" s="228">
        <f>I3</f>
        <v>2028</v>
      </c>
      <c r="K43" s="228" t="s">
        <v>382</v>
      </c>
      <c r="L43" s="73"/>
    </row>
    <row r="44" spans="1:15" x14ac:dyDescent="0.25">
      <c r="A44" s="377" t="s">
        <v>383</v>
      </c>
      <c r="B44" s="377"/>
      <c r="C44" s="27" t="s">
        <v>384</v>
      </c>
      <c r="D44" s="31"/>
      <c r="E44" s="245">
        <f>E10-E31</f>
        <v>34300000</v>
      </c>
      <c r="F44" s="245">
        <f>F10-F31</f>
        <v>34300000</v>
      </c>
      <c r="G44" s="245">
        <f>G10-G31</f>
        <v>34300000</v>
      </c>
      <c r="H44" s="245">
        <f>H10-H31</f>
        <v>34300000</v>
      </c>
      <c r="I44" s="245">
        <f>I10-I31</f>
        <v>34300000</v>
      </c>
      <c r="K44" s="73" t="s">
        <v>385</v>
      </c>
      <c r="L44" s="73"/>
    </row>
    <row r="45" spans="1:15" x14ac:dyDescent="0.25">
      <c r="C45" s="27" t="s">
        <v>386</v>
      </c>
      <c r="D45" s="31"/>
      <c r="E45" s="245">
        <f>(E19+E27)-E4</f>
        <v>-367300000</v>
      </c>
      <c r="F45" s="245">
        <f>(F19+F27)-F4</f>
        <v>-367300000</v>
      </c>
      <c r="G45" s="245">
        <f>(G19+G27)-G4</f>
        <v>-367300000</v>
      </c>
      <c r="H45" s="245">
        <f>(H19+H27)-H4</f>
        <v>-367300000</v>
      </c>
      <c r="I45" s="245">
        <f>(I19+I27)-I4</f>
        <v>-367300000</v>
      </c>
      <c r="K45" s="73"/>
      <c r="L45" s="73"/>
      <c r="O45" s="73"/>
    </row>
    <row r="46" spans="1:15" x14ac:dyDescent="0.25">
      <c r="A46" t="s">
        <v>387</v>
      </c>
      <c r="C46" s="27" t="s">
        <v>388</v>
      </c>
      <c r="D46" s="31"/>
      <c r="E46" s="75">
        <f>(E19+E27)/E4</f>
        <v>-0.103003003003003</v>
      </c>
      <c r="F46" s="75">
        <f>(F19+F27)/F4</f>
        <v>-0.19875979112271541</v>
      </c>
      <c r="G46" s="75">
        <f t="shared" ref="G46" si="17">(G19+G27)/G4</f>
        <v>-0.31272337383845605</v>
      </c>
      <c r="H46" s="75">
        <f t="shared" ref="H46:I46" si="18">(H19+H27)/H4</f>
        <v>-0.45063191153238547</v>
      </c>
      <c r="I46" s="75">
        <f t="shared" si="18"/>
        <v>-0.6209179170344219</v>
      </c>
      <c r="K46" s="73" t="s">
        <v>389</v>
      </c>
      <c r="L46" s="73"/>
    </row>
    <row r="47" spans="1:15" x14ac:dyDescent="0.25">
      <c r="A47" t="s">
        <v>390</v>
      </c>
      <c r="C47" s="27" t="s">
        <v>391</v>
      </c>
      <c r="D47" s="31"/>
      <c r="E47" s="75">
        <f>E25/E19</f>
        <v>0</v>
      </c>
      <c r="F47" s="75">
        <f t="shared" ref="F47:G47" si="19">F25/F19</f>
        <v>0</v>
      </c>
      <c r="G47" s="75">
        <f t="shared" si="19"/>
        <v>0</v>
      </c>
      <c r="H47" s="75">
        <f t="shared" ref="H47:I47" si="20">H25/H19</f>
        <v>0</v>
      </c>
      <c r="I47" s="75">
        <f t="shared" si="20"/>
        <v>0</v>
      </c>
      <c r="K47" s="73" t="s">
        <v>392</v>
      </c>
      <c r="L47" s="73"/>
    </row>
    <row r="48" spans="1:15" x14ac:dyDescent="0.25">
      <c r="A48" t="s">
        <v>393</v>
      </c>
      <c r="C48" s="27" t="s">
        <v>394</v>
      </c>
      <c r="D48" s="31"/>
      <c r="E48" s="75">
        <f>E27/E19</f>
        <v>0</v>
      </c>
      <c r="F48" s="75">
        <f t="shared" ref="F48:G48" si="21">F27/F19</f>
        <v>0</v>
      </c>
      <c r="G48" s="75">
        <f t="shared" si="21"/>
        <v>0</v>
      </c>
      <c r="H48" s="75">
        <f t="shared" ref="H48:I48" si="22">H27/H19</f>
        <v>0</v>
      </c>
      <c r="I48" s="75">
        <f t="shared" si="22"/>
        <v>0</v>
      </c>
      <c r="K48" s="73" t="s">
        <v>395</v>
      </c>
      <c r="L48" s="73"/>
    </row>
    <row r="49" spans="1:12" x14ac:dyDescent="0.25">
      <c r="A49" t="s">
        <v>396</v>
      </c>
      <c r="C49" s="27" t="s">
        <v>397</v>
      </c>
      <c r="D49" s="31"/>
      <c r="E49" s="75">
        <f>E19/E37</f>
        <v>1</v>
      </c>
      <c r="F49" s="75">
        <f t="shared" ref="F49:G49" si="23">F19/F37</f>
        <v>1</v>
      </c>
      <c r="G49" s="75">
        <f t="shared" si="23"/>
        <v>1</v>
      </c>
      <c r="H49" s="75">
        <f t="shared" ref="H49:I49" si="24">H19/H37</f>
        <v>1</v>
      </c>
      <c r="I49" s="75">
        <f t="shared" si="24"/>
        <v>1</v>
      </c>
      <c r="K49" s="73" t="s">
        <v>398</v>
      </c>
      <c r="L49" s="73"/>
    </row>
    <row r="50" spans="1:12" x14ac:dyDescent="0.25">
      <c r="C50" s="28"/>
      <c r="D50" s="32"/>
      <c r="E50" s="75"/>
      <c r="F50" s="75"/>
      <c r="G50" s="75"/>
      <c r="H50" s="75"/>
      <c r="I50" s="75"/>
      <c r="K50" s="73"/>
      <c r="L50" s="73"/>
    </row>
    <row r="51" spans="1:12" x14ac:dyDescent="0.25">
      <c r="A51" s="404" t="s">
        <v>399</v>
      </c>
      <c r="B51" s="404"/>
      <c r="C51" s="28"/>
      <c r="D51" s="32"/>
      <c r="E51" s="75"/>
      <c r="F51" s="75"/>
      <c r="G51" s="75"/>
      <c r="H51" s="75"/>
      <c r="I51" s="75"/>
      <c r="K51" s="73"/>
      <c r="L51" s="73"/>
    </row>
    <row r="52" spans="1:12" x14ac:dyDescent="0.25">
      <c r="A52" t="s">
        <v>400</v>
      </c>
      <c r="C52" s="27" t="s">
        <v>401</v>
      </c>
      <c r="D52" s="31"/>
      <c r="E52" s="75" t="e">
        <f>E10/E31</f>
        <v>#DIV/0!</v>
      </c>
      <c r="F52" s="75" t="e">
        <f t="shared" ref="F52:G52" si="25">F10/F31</f>
        <v>#DIV/0!</v>
      </c>
      <c r="G52" s="75" t="e">
        <f t="shared" si="25"/>
        <v>#DIV/0!</v>
      </c>
      <c r="H52" s="75" t="e">
        <f t="shared" ref="H52:I52" si="26">H10/H31</f>
        <v>#DIV/0!</v>
      </c>
      <c r="I52" s="75" t="e">
        <f t="shared" si="26"/>
        <v>#DIV/0!</v>
      </c>
      <c r="K52" s="73" t="s">
        <v>389</v>
      </c>
      <c r="L52" s="73"/>
    </row>
    <row r="53" spans="1:12" x14ac:dyDescent="0.25">
      <c r="A53" t="s">
        <v>402</v>
      </c>
      <c r="C53" s="27" t="s">
        <v>403</v>
      </c>
      <c r="D53" s="31"/>
      <c r="E53" s="75" t="e">
        <f>(E10-E12)/E31</f>
        <v>#DIV/0!</v>
      </c>
      <c r="F53" s="75" t="e">
        <f t="shared" ref="F53:G53" si="27">(F10-F12)/F31</f>
        <v>#DIV/0!</v>
      </c>
      <c r="G53" s="75" t="e">
        <f t="shared" si="27"/>
        <v>#DIV/0!</v>
      </c>
      <c r="H53" s="75" t="e">
        <f t="shared" ref="H53:I53" si="28">(H10-H12)/H31</f>
        <v>#DIV/0!</v>
      </c>
      <c r="I53" s="75" t="e">
        <f t="shared" si="28"/>
        <v>#DIV/0!</v>
      </c>
      <c r="K53" s="73" t="s">
        <v>404</v>
      </c>
      <c r="L53" s="73"/>
    </row>
    <row r="54" spans="1:12" x14ac:dyDescent="0.25">
      <c r="A54" t="s">
        <v>405</v>
      </c>
      <c r="C54" s="27" t="s">
        <v>406</v>
      </c>
      <c r="D54" s="31"/>
      <c r="E54" s="75" t="e">
        <f>(E15/E31)</f>
        <v>#DIV/0!</v>
      </c>
      <c r="F54" s="75" t="e">
        <f t="shared" ref="F54:G54" si="29">(F15/F31)</f>
        <v>#DIV/0!</v>
      </c>
      <c r="G54" s="75" t="e">
        <f t="shared" si="29"/>
        <v>#DIV/0!</v>
      </c>
      <c r="H54" s="75" t="e">
        <f t="shared" ref="H54:I54" si="30">(H15/H31)</f>
        <v>#DIV/0!</v>
      </c>
      <c r="I54" s="75" t="e">
        <f t="shared" si="30"/>
        <v>#DIV/0!</v>
      </c>
      <c r="K54" s="73"/>
      <c r="L54" s="73"/>
    </row>
    <row r="55" spans="1:12" x14ac:dyDescent="0.25">
      <c r="K55" s="73"/>
      <c r="L55" s="73"/>
    </row>
    <row r="56" spans="1:12" x14ac:dyDescent="0.25">
      <c r="A56" s="1" t="s">
        <v>252</v>
      </c>
      <c r="B56" s="28"/>
      <c r="K56" s="73"/>
      <c r="L56" s="73"/>
    </row>
    <row r="57" spans="1:12" x14ac:dyDescent="0.25">
      <c r="A57" t="s">
        <v>407</v>
      </c>
      <c r="C57" s="27" t="s">
        <v>408</v>
      </c>
      <c r="E57" s="73" t="e">
        <f>('P&amp;L and Cashflowstatement'!F21+'P&amp;L and Cashflowstatement'!F24)/('Sales &amp; Grossmargin forecast '!N30-'Sales &amp; Grossmargin forecast '!N31)</f>
        <v>#DIV/0!</v>
      </c>
      <c r="F57" s="251" t="s">
        <v>409</v>
      </c>
      <c r="G57" s="251" t="s">
        <v>409</v>
      </c>
      <c r="H57" s="251" t="s">
        <v>409</v>
      </c>
      <c r="I57" s="251" t="s">
        <v>409</v>
      </c>
      <c r="K57" s="245"/>
      <c r="L57" s="73"/>
    </row>
    <row r="58" spans="1:12" x14ac:dyDescent="0.25">
      <c r="A58" t="s">
        <v>410</v>
      </c>
      <c r="C58" s="27" t="s">
        <v>256</v>
      </c>
      <c r="E58" s="73" t="e">
        <f>('P&amp;L and Cashflowstatement'!F21+'P&amp;L and Cashflowstatement'!F24)/'P&amp;L and Cashflowstatement'!G12*100</f>
        <v>#DIV/0!</v>
      </c>
      <c r="F58" s="73" t="e">
        <f>('P&amp;L and Cashflowstatement'!H21+'P&amp;L and Cashflowstatement'!H24)/'P&amp;L and Cashflowstatement'!I12*100</f>
        <v>#DIV/0!</v>
      </c>
      <c r="G58" s="73" t="e">
        <f>('P&amp;L and Cashflowstatement'!J21+'P&amp;L and Cashflowstatement'!J24)/'P&amp;L and Cashflowstatement'!K12*100</f>
        <v>#DIV/0!</v>
      </c>
      <c r="H58" s="73" t="e">
        <f>('P&amp;L and Cashflowstatement'!K21+'P&amp;L and Cashflowstatement'!K24)/'P&amp;L and Cashflowstatement'!L12*100</f>
        <v>#DIV/0!</v>
      </c>
      <c r="I58" s="73" t="e">
        <f>('P&amp;L and Cashflowstatement'!L21+'P&amp;L and Cashflowstatement'!L24)/'P&amp;L and Cashflowstatement'!M12*100</f>
        <v>#DIV/0!</v>
      </c>
      <c r="K58" s="245"/>
      <c r="L58" s="73"/>
    </row>
    <row r="59" spans="1:12" x14ac:dyDescent="0.25">
      <c r="A59" t="s">
        <v>410</v>
      </c>
      <c r="C59" s="27" t="s">
        <v>411</v>
      </c>
      <c r="E59" s="81" t="e">
        <f>E58/'P&amp;L and Cashflowstatement'!F6</f>
        <v>#DIV/0!</v>
      </c>
      <c r="F59" s="81" t="e">
        <f>F58/'P&amp;L and Cashflowstatement'!H6</f>
        <v>#DIV/0!</v>
      </c>
      <c r="G59" s="81" t="e">
        <f>G58/'P&amp;L and Cashflowstatement'!J6</f>
        <v>#DIV/0!</v>
      </c>
      <c r="H59" s="81" t="e">
        <f>H58/'P&amp;L and Cashflowstatement'!K6</f>
        <v>#DIV/0!</v>
      </c>
      <c r="I59" s="81" t="e">
        <f>I58/'P&amp;L and Cashflowstatement'!L6</f>
        <v>#DIV/0!</v>
      </c>
      <c r="K59" s="73" t="s">
        <v>412</v>
      </c>
      <c r="L59" s="73"/>
    </row>
    <row r="60" spans="1:12" x14ac:dyDescent="0.25">
      <c r="E60" s="81"/>
      <c r="F60" s="81"/>
      <c r="G60" s="81"/>
      <c r="H60" s="81"/>
      <c r="I60" s="81"/>
      <c r="K60" s="73"/>
      <c r="L60" s="73"/>
    </row>
    <row r="61" spans="1:12" x14ac:dyDescent="0.25">
      <c r="E61" s="81"/>
      <c r="F61" s="81"/>
      <c r="G61" s="81"/>
      <c r="H61" s="81"/>
      <c r="I61" s="81"/>
      <c r="K61" s="73"/>
      <c r="L61" s="73"/>
    </row>
    <row r="62" spans="1:12" x14ac:dyDescent="0.25">
      <c r="A62" s="1" t="s">
        <v>413</v>
      </c>
      <c r="C62" t="s">
        <v>414</v>
      </c>
      <c r="E62" s="81"/>
      <c r="F62" s="81"/>
      <c r="G62" s="81"/>
      <c r="H62" s="81"/>
      <c r="I62" s="81"/>
      <c r="K62" s="73"/>
      <c r="L62" s="73"/>
    </row>
    <row r="63" spans="1:12" x14ac:dyDescent="0.25">
      <c r="A63" t="s">
        <v>415</v>
      </c>
      <c r="E63" s="81" t="e">
        <f>('P&amp;L and Cashflowstatement'!F32/'P&amp;L and Cashflowstatement'!F8)*100</f>
        <v>#DIV/0!</v>
      </c>
      <c r="F63" s="81" t="e">
        <f>('P&amp;L and Cashflowstatement'!H32/'P&amp;L and Cashflowstatement'!H8)*100</f>
        <v>#DIV/0!</v>
      </c>
      <c r="G63" s="81" t="e">
        <f>('P&amp;L and Cashflowstatement'!J32/'P&amp;L and Cashflowstatement'!J8)*100</f>
        <v>#DIV/0!</v>
      </c>
      <c r="H63" s="81" t="e">
        <f>('P&amp;L and Cashflowstatement'!K32/'P&amp;L and Cashflowstatement'!K8)*100</f>
        <v>#DIV/0!</v>
      </c>
      <c r="I63" s="81" t="e">
        <f>('P&amp;L and Cashflowstatement'!L32/'P&amp;L and Cashflowstatement'!L8)*100</f>
        <v>#DIV/0!</v>
      </c>
      <c r="K63" s="73"/>
      <c r="L63" s="73"/>
    </row>
    <row r="64" spans="1:12" x14ac:dyDescent="0.25">
      <c r="A64" t="s">
        <v>416</v>
      </c>
      <c r="E64" s="81">
        <f>'P&amp;L and Cashflowstatement'!F32/'Balance sheet'!E7</f>
        <v>-0.20600600600600599</v>
      </c>
      <c r="F64" s="81">
        <f>'P&amp;L and Cashflowstatement'!H32/'Balance sheet'!F7</f>
        <v>-8.6814621409921675E-2</v>
      </c>
      <c r="G64" s="81">
        <f>'P&amp;L and Cashflowstatement'!J32/'Balance sheet'!G7</f>
        <v>-9.5067905646890632E-2</v>
      </c>
      <c r="H64" s="81" t="e">
        <f>'P&amp;L and Cashflowstatement'!K32/'Balance sheet'!H7</f>
        <v>#DIV/0!</v>
      </c>
      <c r="I64" s="81">
        <f>'P&amp;L and Cashflowstatement'!L32/'Balance sheet'!I7</f>
        <v>-0.11738746690203</v>
      </c>
      <c r="K64" s="73"/>
      <c r="L64" s="73"/>
    </row>
    <row r="65" spans="1:12" x14ac:dyDescent="0.25">
      <c r="A65" t="s">
        <v>417</v>
      </c>
      <c r="E65" s="81">
        <f>'P&amp;L and Cashflowstatement'!F32/'Balance sheet'!E37</f>
        <v>2</v>
      </c>
      <c r="F65" s="81">
        <f>'P&amp;L and Cashflowstatement'!H32/'Balance sheet'!F37</f>
        <v>0.43678160919540232</v>
      </c>
      <c r="G65" s="81">
        <f>'P&amp;L and Cashflowstatement'!J32/'Balance sheet'!G37</f>
        <v>0.30399999999999999</v>
      </c>
      <c r="H65" s="81" t="e">
        <f>'P&amp;L and Cashflowstatement'!K32/'Balance sheet'!H37</f>
        <v>#DIV/0!</v>
      </c>
      <c r="I65" s="81">
        <f>'P&amp;L and Cashflowstatement'!L32/'Balance sheet'!I37</f>
        <v>0.1890547263681592</v>
      </c>
      <c r="K65" s="73"/>
      <c r="L65" s="73"/>
    </row>
    <row r="66" spans="1:12" x14ac:dyDescent="0.25">
      <c r="A66" t="s">
        <v>418</v>
      </c>
      <c r="E66" s="81">
        <f>'P&amp;L and Cashflowstatement'!F32/'Balance sheet'!E19</f>
        <v>2</v>
      </c>
      <c r="F66" s="81">
        <f>'P&amp;L and Cashflowstatement'!H32/'Balance sheet'!F19</f>
        <v>0.43678160919540232</v>
      </c>
      <c r="G66" s="81">
        <f>'P&amp;L and Cashflowstatement'!J32/'Balance sheet'!G19</f>
        <v>0.30399999999999999</v>
      </c>
      <c r="H66" s="81" t="e">
        <f>'P&amp;L and Cashflowstatement'!K32/'Balance sheet'!H19</f>
        <v>#DIV/0!</v>
      </c>
      <c r="I66" s="81">
        <f>'P&amp;L and Cashflowstatement'!L32/'Balance sheet'!I19</f>
        <v>0.1890547263681592</v>
      </c>
      <c r="K66" s="73"/>
      <c r="L66" s="73"/>
    </row>
  </sheetData>
  <mergeCells count="4">
    <mergeCell ref="A1:B1"/>
    <mergeCell ref="A44:B44"/>
    <mergeCell ref="A51:B51"/>
    <mergeCell ref="A40:B40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789EE71282C4399F10135FC46119B" ma:contentTypeVersion="18" ma:contentTypeDescription="Een nieuw document maken." ma:contentTypeScope="" ma:versionID="b211125146137a18ec535531e2a9ca73">
  <xsd:schema xmlns:xsd="http://www.w3.org/2001/XMLSchema" xmlns:xs="http://www.w3.org/2001/XMLSchema" xmlns:p="http://schemas.microsoft.com/office/2006/metadata/properties" xmlns:ns2="e5a55f32-9931-47ef-ab54-30701ddca6a5" xmlns:ns3="4402fb6a-fe80-4852-bdae-28a541a2f4d2" targetNamespace="http://schemas.microsoft.com/office/2006/metadata/properties" ma:root="true" ma:fieldsID="ad279469def5dc32febcc9acd6dfb8cf" ns2:_="" ns3:_="">
    <xsd:import namespace="e5a55f32-9931-47ef-ab54-30701ddca6a5"/>
    <xsd:import namespace="4402fb6a-fe80-4852-bdae-28a541a2f4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55f32-9931-47ef-ab54-30701ddca6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ed3399-60ff-491e-bd32-d0ac1139aff7}" ma:internalName="TaxCatchAll" ma:showField="CatchAllData" ma:web="e5a55f32-9931-47ef-ab54-30701ddca6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2fb6a-fe80-4852-bdae-28a541a2f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e38aa8a9-2314-4ff2-81f2-761ac3176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5a55f32-9931-47ef-ab54-30701ddca6a5">
      <UserInfo>
        <DisplayName>Georges Claes</DisplayName>
        <AccountId>3</AccountId>
        <AccountType/>
      </UserInfo>
      <UserInfo>
        <DisplayName>Thierry Deflandre</DisplayName>
        <AccountId>17</AccountId>
        <AccountType/>
      </UserInfo>
      <UserInfo>
        <DisplayName>Chris Vijt</DisplayName>
        <AccountId>267</AccountId>
        <AccountType/>
      </UserInfo>
      <UserInfo>
        <DisplayName>Andrew  Herweg</DisplayName>
        <AccountId>195</AccountId>
        <AccountType/>
      </UserInfo>
      <UserInfo>
        <DisplayName>Bruno Van der Wielen</DisplayName>
        <AccountId>70</AccountId>
        <AccountType/>
      </UserInfo>
      <UserInfo>
        <DisplayName>Ysaline Sondag</DisplayName>
        <AccountId>577</AccountId>
        <AccountType/>
      </UserInfo>
      <UserInfo>
        <DisplayName>Jeanne Abayo</DisplayName>
        <AccountId>589</AccountId>
        <AccountType/>
      </UserInfo>
    </SharedWithUsers>
    <TaxCatchAll xmlns="e5a55f32-9931-47ef-ab54-30701ddca6a5" xsi:nil="true"/>
    <lcf76f155ced4ddcb4097134ff3c332f xmlns="4402fb6a-fe80-4852-bdae-28a541a2f4d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58CA87-22E9-4A3B-8A08-3BDFFACD5C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6B1149-35B0-4517-9CEB-5E1EF5525C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55f32-9931-47ef-ab54-30701ddca6a5"/>
    <ds:schemaRef ds:uri="4402fb6a-fe80-4852-bdae-28a541a2f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C95749-5CBD-489B-B284-F0F70281D50F}">
  <ds:schemaRefs>
    <ds:schemaRef ds:uri="http://schemas.microsoft.com/office/2006/metadata/properties"/>
    <ds:schemaRef ds:uri="http://schemas.microsoft.com/office/infopath/2007/PartnerControls"/>
    <ds:schemaRef ds:uri="e5a55f32-9931-47ef-ab54-30701ddca6a5"/>
    <ds:schemaRef ds:uri="4402fb6a-fe80-4852-bdae-28a541a2f4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Template content</vt:lpstr>
      <vt:lpstr>Summary Financial Plan IN EUROS</vt:lpstr>
      <vt:lpstr>Sales &amp; Grossmargin forecast </vt:lpstr>
      <vt:lpstr>Detail expenses </vt:lpstr>
      <vt:lpstr>Investments</vt:lpstr>
      <vt:lpstr>P&amp;L and Cashflowstatement</vt:lpstr>
      <vt:lpstr>Working Capital</vt:lpstr>
      <vt:lpstr>Financing sources</vt:lpstr>
      <vt:lpstr>Balance sheet</vt:lpstr>
      <vt:lpstr>'Financing sources'!Afdrukbereik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</dc:creator>
  <cp:keywords/>
  <dc:description/>
  <cp:lastModifiedBy>Georges Claes</cp:lastModifiedBy>
  <cp:revision/>
  <dcterms:created xsi:type="dcterms:W3CDTF">2016-03-25T11:32:51Z</dcterms:created>
  <dcterms:modified xsi:type="dcterms:W3CDTF">2024-02-22T09:43:21Z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0x01010010B789EE71282C4399F10135FC46119B</vt:lpwstr>
  </property>
  <property fmtid="{D5CDD505-2E9C-101B-9397-08002B2CF9AE}" pid="3" name="Order">
    <vt:r8>3030900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